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0" yWindow="65386" windowWidth="5190" windowHeight="6390" tabRatio="915" activeTab="8"/>
  </bookViews>
  <sheets>
    <sheet name="14 Taules" sheetId="1" r:id="rId1"/>
    <sheet name="Inscripcions" sheetId="2" r:id="rId2"/>
    <sheet name="Fase_grups_ABS" sheetId="3" r:id="rId3"/>
    <sheet name="Fase Final Absolut" sheetId="4" r:id="rId4"/>
    <sheet name="prèvia1" sheetId="5" r:id="rId5"/>
    <sheet name="prèvia2" sheetId="6" r:id="rId6"/>
    <sheet name="prèvia3" sheetId="7" r:id="rId7"/>
    <sheet name="SETZENS" sheetId="8" r:id="rId8"/>
    <sheet name="VUITENS" sheetId="9" r:id="rId9"/>
    <sheet name="QUARTS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A">'[1]Fase Final Inf.'!$E$11,'[1]Fase Final Inf.'!$E$19,'[1]Fase Final Inf.'!$I$15,'[1]Fase Final Inf.'!$I$31,'[1]Fase Final Inf.'!$E$27,'[1]Fase Final Inf.'!$E$35,'[1]Fase Final Inf.'!$M$23,'[1]Fase Final Inf.'!$E$43,'[1]Fase Final Inf.'!$E$51,'[1]Fase Final Inf.'!$I$47,'[1]Fase Final Inf.'!$M$55,'[1]Fase Final Inf.'!$I$63,'[1]Fase Final Inf.'!$E$59,'[1]Fase Final Inf.'!$E$67</definedName>
    <definedName name="Absolut1">#REF!</definedName>
    <definedName name="Absolut100">#REF!</definedName>
    <definedName name="Absolut20">#REF!</definedName>
    <definedName name="Absolut40">#REF!</definedName>
    <definedName name="Absolut60">#REF!</definedName>
    <definedName name="Absolut75">#REF!</definedName>
    <definedName name="Absolut80">#REF!</definedName>
    <definedName name="_xlnm.Print_Area" localSheetId="0">'14 Taules'!$A$1:$R$42</definedName>
    <definedName name="_xlnm.Print_Area" localSheetId="3">'Fase Final Absolut'!$A$1:$AA$73</definedName>
    <definedName name="_xlnm.Print_Area" localSheetId="4">'prèvia1'!$A$1:$P$55</definedName>
    <definedName name="_xlnm.Print_Area" localSheetId="5">'prèvia2'!$A$1:$P$55</definedName>
    <definedName name="_xlnm.Print_Area" localSheetId="6">'prèvia3'!$A$1:$P$55</definedName>
    <definedName name="_xlnm.Print_Area" localSheetId="9">'QUARTS'!$A$1:$G$27</definedName>
    <definedName name="_xlnm.Print_Area" localSheetId="7">'SETZENS'!$A$1:$P$55</definedName>
    <definedName name="_xlnm.Print_Area" localSheetId="8">'VUITENS'!$A$1:$G$55</definedName>
    <definedName name="Borrar">#REF!,#REF!,#REF!,#REF!</definedName>
    <definedName name="fem" localSheetId="3">'[3]Hoja1'!$E$11,'[3]Hoja1'!$E$19,'[3]Hoja1'!$I$15,'[3]Hoja1'!$I$31,'[3]Hoja1'!$E$27,'[3]Hoja1'!$E$35,'[3]Hoja1'!$M$23,'[3]Hoja1'!$E$43,'[3]Hoja1'!$E$51,'[3]Hoja1'!$I$47,'[3]Hoja1'!$M$55,'[3]Hoja1'!$I$63,'[3]Hoja1'!$E$59,'[3]Hoja1'!$E$67</definedName>
    <definedName name="fem">'[2]Hoja1'!$E$11,'[2]Hoja1'!$E$19,'[2]Hoja1'!$I$15,'[2]Hoja1'!$I$31,'[2]Hoja1'!$E$27,'[2]Hoja1'!$E$35,'[2]Hoja1'!$M$23,'[2]Hoja1'!$E$43,'[2]Hoja1'!$E$51,'[2]Hoja1'!$I$47,'[2]Hoja1'!$M$55,'[2]Hoja1'!$I$63,'[2]Hoja1'!$E$59,'[2]Hoja1'!$E$67</definedName>
    <definedName name="impri" localSheetId="0">'[1]Fase Final Inf.'!$E$11,'[1]Fase Final Inf.'!$E$19,'[1]Fase Final Inf.'!$I$15,'[1]Fase Final Inf.'!$I$31,'[1]Fase Final Inf.'!$E$27,'[1]Fase Final Inf.'!$E$35,'[1]Fase Final Inf.'!$M$23,'[1]Fase Final Inf.'!$E$43,'[1]Fase Final Inf.'!$E$51,'[1]Fase Final Inf.'!$I$47,'[1]Fase Final Inf.'!$M$55,'[1]Fase Final Inf.'!$I$63,'[1]Fase Final Inf.'!$E$59,'[1]Fase Final Inf.'!$E$67</definedName>
    <definedName name="impri" localSheetId="3">'[3]Hoja1'!$E$11,'[3]Hoja1'!$E$19,'[3]Hoja1'!$I$15,'[3]Hoja1'!$I$31,'[3]Hoja1'!$E$27,'[3]Hoja1'!$E$35,'[3]Hoja1'!$M$23,'[3]Hoja1'!$E$43,'[3]Hoja1'!$E$51,'[3]Hoja1'!$I$47,'[3]Hoja1'!$M$55,'[3]Hoja1'!$I$63,'[3]Hoja1'!$E$59,'[3]Hoja1'!$E$67</definedName>
    <definedName name="impri">'[1]Fase Final Inf.'!$E$11,'[1]Fase Final Inf.'!$E$19,'[1]Fase Final Inf.'!$I$15,'[1]Fase Final Inf.'!$I$31,'[1]Fase Final Inf.'!$E$27,'[1]Fase Final Inf.'!$E$35,'[1]Fase Final Inf.'!$M$23,'[1]Fase Final Inf.'!$E$43,'[1]Fase Final Inf.'!$E$51,'[1]Fase Final Inf.'!$I$47,'[1]Fase Final Inf.'!$M$55,'[1]Fase Final Inf.'!$I$63,'[1]Fase Final Inf.'!$E$59,'[1]Fase Final Inf.'!$E$67</definedName>
    <definedName name="impri2">'[1]Fase Final Inf.'!$E$11,'[1]Fase Final Inf.'!$E$19,'[1]Fase Final Inf.'!$I$15,'[1]Fase Final Inf.'!$I$31,'[1]Fase Final Inf.'!$E$27,'[1]Fase Final Inf.'!$E$35,'[1]Fase Final Inf.'!$M$23,'[1]Fase Final Inf.'!$E$43,'[1]Fase Final Inf.'!$E$51,'[1]Fase Final Inf.'!$I$47,'[1]Fase Final Inf.'!$M$55,'[1]Fase Final Inf.'!$I$63,'[1]Fase Final Inf.'!$E$59,'[1]Fase Final Inf.'!$E$67</definedName>
    <definedName name="inf." localSheetId="3">'[3]Hoja1'!$E$11,'[3]Hoja1'!$E$19,'[3]Hoja1'!$I$15,'[3]Hoja1'!$I$31,'[3]Hoja1'!$E$27,'[3]Hoja1'!$E$35,'[3]Hoja1'!$M$23,'[3]Hoja1'!$E$43,'[3]Hoja1'!$E$51,'[3]Hoja1'!$I$47,'[3]Hoja1'!$M$55,'[3]Hoja1'!$I$63,'[3]Hoja1'!$E$59,'[3]Hoja1'!$E$67</definedName>
    <definedName name="inf.">'[2]Hoja1'!$E$11,'[2]Hoja1'!$E$19,'[2]Hoja1'!$I$15,'[2]Hoja1'!$I$31,'[2]Hoja1'!$E$27,'[2]Hoja1'!$E$35,'[2]Hoja1'!$M$23,'[2]Hoja1'!$E$43,'[2]Hoja1'!$E$51,'[2]Hoja1'!$I$47,'[2]Hoja1'!$M$55,'[2]Hoja1'!$I$63,'[2]Hoja1'!$E$59,'[2]Hoja1'!$E$67</definedName>
    <definedName name="infantil" localSheetId="3">'[3]Hoja1'!$E$11,'[3]Hoja1'!$E$19,'[3]Hoja1'!$I$15,'[3]Hoja1'!$I$31,'[3]Hoja1'!$E$27,'[3]Hoja1'!$E$35,'[3]Hoja1'!$M$23,'[3]Hoja1'!$E$43,'[3]Hoja1'!$E$51,'[3]Hoja1'!$I$47,'[3]Hoja1'!$M$55,'[3]Hoja1'!$I$63,'[3]Hoja1'!$E$59,'[3]Hoja1'!$E$67</definedName>
    <definedName name="infantil">'[2]Hoja1'!$E$11,'[2]Hoja1'!$E$19,'[2]Hoja1'!$I$15,'[2]Hoja1'!$I$31,'[2]Hoja1'!$E$27,'[2]Hoja1'!$E$35,'[2]Hoja1'!$M$23,'[2]Hoja1'!$E$43,'[2]Hoja1'!$E$51,'[2]Hoja1'!$I$47,'[2]Hoja1'!$M$55,'[2]Hoja1'!$I$63,'[2]Hoja1'!$E$59,'[2]Hoja1'!$E$67</definedName>
    <definedName name="Infantil1">#REF!</definedName>
    <definedName name="Inff">#REF!,#REF!,#REF!,#REF!,#REF!,#REF!,#REF!,#REF!,#REF!,#REF!,#REF!,#REF!,#REF!,#REF!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<sst xmlns="http://schemas.openxmlformats.org/spreadsheetml/2006/main" count="2029" uniqueCount="283">
  <si>
    <t>Nº Cap Sèrie</t>
  </si>
  <si>
    <t>Jugador / a</t>
  </si>
  <si>
    <t>Nº Grup</t>
  </si>
  <si>
    <t>Partit</t>
  </si>
  <si>
    <t>Àrbitre</t>
  </si>
  <si>
    <t>1r. Joc</t>
  </si>
  <si>
    <t>-</t>
  </si>
  <si>
    <t>2n. Joc</t>
  </si>
  <si>
    <t>3r. Joc</t>
  </si>
  <si>
    <t>4t. Joc</t>
  </si>
  <si>
    <t>5è. Joc</t>
  </si>
  <si>
    <t>Hora</t>
  </si>
  <si>
    <t>Jocs</t>
  </si>
  <si>
    <t>Guanyador</t>
  </si>
  <si>
    <t>Taula</t>
  </si>
  <si>
    <t>T1</t>
  </si>
  <si>
    <t>T2</t>
  </si>
  <si>
    <t>T3</t>
  </si>
  <si>
    <t>T4</t>
  </si>
  <si>
    <t>Taula 1</t>
  </si>
  <si>
    <t>Taula 2</t>
  </si>
  <si>
    <t>Taula 3</t>
  </si>
  <si>
    <t>Taula 4</t>
  </si>
  <si>
    <t>Taula 5</t>
  </si>
  <si>
    <t>Taula 6</t>
  </si>
  <si>
    <t>Taula 7</t>
  </si>
  <si>
    <t>Taula 8</t>
  </si>
  <si>
    <t>Taula 9</t>
  </si>
  <si>
    <t>Taula 10</t>
  </si>
  <si>
    <t>Taula 11</t>
  </si>
  <si>
    <t>Taula 12</t>
  </si>
  <si>
    <t>Taula 13</t>
  </si>
  <si>
    <t>Taula 14</t>
  </si>
  <si>
    <t>Data:</t>
  </si>
  <si>
    <t>ABSOLUT</t>
  </si>
  <si>
    <t>Punts</t>
  </si>
  <si>
    <t>GRUP:</t>
  </si>
  <si>
    <t>FASE GRUPS INDIVIDUALS ABSOLUT</t>
  </si>
  <si>
    <t>Classificació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</si>
  <si>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</si>
  <si>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</si>
  <si>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</si>
  <si>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</si>
  <si>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</si>
  <si>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</si>
  <si>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</si>
  <si>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</si>
  <si>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</si>
  <si>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</si>
  <si>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PROVA INDIVIDUAL ABSOLUTA</t>
  </si>
  <si>
    <t>1/16 FINAL</t>
  </si>
  <si>
    <t>1/8 FINAL</t>
  </si>
  <si>
    <t>1/4 FINAL</t>
  </si>
  <si>
    <t>1/2 FINAL</t>
  </si>
  <si>
    <t>FINAL</t>
  </si>
  <si>
    <t>FASE FINAL INDIVIDUALS ABSOLUT</t>
  </si>
  <si>
    <t>PRÊVIA 1</t>
  </si>
  <si>
    <t>PRÊVIA 2</t>
  </si>
  <si>
    <t>PRÊVIA 3</t>
  </si>
  <si>
    <t>ALEVINS</t>
  </si>
  <si>
    <t xml:space="preserve">   </t>
  </si>
  <si>
    <t>º</t>
  </si>
  <si>
    <t>T15</t>
  </si>
  <si>
    <t>T16</t>
  </si>
  <si>
    <t>SORTEIG</t>
  </si>
  <si>
    <t>Resultat Final</t>
  </si>
  <si>
    <t>Prèvia 1 Absolut</t>
  </si>
  <si>
    <t>Prèvia 2 Absolut</t>
  </si>
  <si>
    <t>Prèvia 3 Absolut</t>
  </si>
  <si>
    <t>Setzens Absolut</t>
  </si>
  <si>
    <t>Vuitens 1 Absolut</t>
  </si>
  <si>
    <t>Quarts Absolut</t>
  </si>
  <si>
    <t>Diaz, Ferran</t>
  </si>
  <si>
    <t>Margalida, Carles</t>
  </si>
  <si>
    <t>Fontanet, Francesc</t>
  </si>
  <si>
    <t>Solans, Francesc</t>
  </si>
  <si>
    <t>Fontanet, Jordi</t>
  </si>
  <si>
    <t>Miró, Francesc</t>
  </si>
  <si>
    <t>Gomez, Ricard</t>
  </si>
  <si>
    <t>Ribera, Albert</t>
  </si>
  <si>
    <t>Sanz, Agustí</t>
  </si>
  <si>
    <t>Florez, Hugo</t>
  </si>
  <si>
    <t>Torné, Lluís</t>
  </si>
  <si>
    <t>Garcia, Josep</t>
  </si>
  <si>
    <t>Molina, Marc</t>
  </si>
  <si>
    <t>Galera, Marc</t>
  </si>
  <si>
    <t>Cayuela, Victor</t>
  </si>
  <si>
    <t>Almacellas, Guillem</t>
  </si>
  <si>
    <t>Carrera, Alex</t>
  </si>
  <si>
    <t>Porta, Pere</t>
  </si>
  <si>
    <t>Polo, Montse</t>
  </si>
  <si>
    <t>Martí, Marc</t>
  </si>
  <si>
    <t>Arbiol, Guillem</t>
  </si>
  <si>
    <t>Bascompte, Carles</t>
  </si>
  <si>
    <t>Calvet, Jordi</t>
  </si>
  <si>
    <t>Cerviño, Jordi</t>
  </si>
  <si>
    <t>Juncosa, Francesc</t>
  </si>
  <si>
    <t>Rodriguez, Patrick</t>
  </si>
  <si>
    <t>Farrero, Aleix</t>
  </si>
  <si>
    <t>López, David</t>
  </si>
  <si>
    <t>Cordoba, Jaume</t>
  </si>
  <si>
    <t>Quintana, Sergi</t>
  </si>
  <si>
    <t>Solé, Jordi</t>
  </si>
  <si>
    <t>Campà, Jordi</t>
  </si>
  <si>
    <t>Tudo, Iker</t>
  </si>
  <si>
    <t>Patau, Pol</t>
  </si>
  <si>
    <t>Sans, Guillem</t>
  </si>
  <si>
    <t>Sala, Gifré</t>
  </si>
  <si>
    <t>Kiskeri, Gerard</t>
  </si>
  <si>
    <t>Feliu, Albert</t>
  </si>
  <si>
    <t>Expòsito, Guillem</t>
  </si>
  <si>
    <t>Subirà, David</t>
  </si>
  <si>
    <t>Almonacid, Roger</t>
  </si>
  <si>
    <t>Vives, Arnau</t>
  </si>
  <si>
    <t>Ionut, Eduard</t>
  </si>
  <si>
    <t>Vendrell, Pau</t>
  </si>
  <si>
    <t>Macià, Ramon</t>
  </si>
  <si>
    <t>Duch, Albert</t>
  </si>
  <si>
    <t>Abelló, David</t>
  </si>
  <si>
    <t>Montanya, Joel</t>
  </si>
  <si>
    <t>Rodriguez, Jordi</t>
  </si>
  <si>
    <t>9:00 - 9:15</t>
  </si>
  <si>
    <t>9:15 - 9:30</t>
  </si>
  <si>
    <t>V. G-1</t>
  </si>
  <si>
    <t>V. G-2</t>
  </si>
  <si>
    <t>V. G-4</t>
  </si>
  <si>
    <t>V. G-5</t>
  </si>
  <si>
    <t>V. G-6</t>
  </si>
  <si>
    <t>I. G-1</t>
  </si>
  <si>
    <t>I. G-3</t>
  </si>
  <si>
    <t>I. G-4</t>
  </si>
  <si>
    <t>I. G-5</t>
  </si>
  <si>
    <t>I. G-6</t>
  </si>
  <si>
    <t>BENJAMINS</t>
  </si>
  <si>
    <t>9:30 - 9:45</t>
  </si>
  <si>
    <t>9:45 - 10:00</t>
  </si>
  <si>
    <t>10:00 - 10:15</t>
  </si>
  <si>
    <t>V. G-3</t>
  </si>
  <si>
    <t>I. G-2</t>
  </si>
  <si>
    <t>10:15 - 10:30</t>
  </si>
  <si>
    <t>10:30 - 10:45</t>
  </si>
  <si>
    <t>V.1/8</t>
  </si>
  <si>
    <t>Grup 25</t>
  </si>
  <si>
    <t>I. 1/8</t>
  </si>
  <si>
    <t>10:45 - 11:00</t>
  </si>
  <si>
    <t>V. 1/4</t>
  </si>
  <si>
    <t>I. 1/4</t>
  </si>
  <si>
    <t>11:00 - 11:15</t>
  </si>
  <si>
    <t>V. SF</t>
  </si>
  <si>
    <t>I. SF</t>
  </si>
  <si>
    <t>11:15 - 11:30</t>
  </si>
  <si>
    <t>V. Final</t>
  </si>
  <si>
    <t>I. Final</t>
  </si>
  <si>
    <t>11:30 - 12:00</t>
  </si>
  <si>
    <t>12:00 - 12:15</t>
  </si>
  <si>
    <t>12:00- 12:20</t>
  </si>
  <si>
    <t>Grup 15</t>
  </si>
  <si>
    <t>Grup 16</t>
  </si>
  <si>
    <t>Grup 17</t>
  </si>
  <si>
    <t>Grup 18</t>
  </si>
  <si>
    <t>Grup 19</t>
  </si>
  <si>
    <t>Grup 20</t>
  </si>
  <si>
    <t>Grup 21</t>
  </si>
  <si>
    <t>Grup 22</t>
  </si>
  <si>
    <t>Grup 23</t>
  </si>
  <si>
    <t>Grup 24</t>
  </si>
  <si>
    <t>12:20-12:40</t>
  </si>
  <si>
    <t>12:40- 13:00</t>
  </si>
  <si>
    <t>13:00 - 13:20</t>
  </si>
  <si>
    <t>13:20- 13:40</t>
  </si>
  <si>
    <t>13:40 - 14:00</t>
  </si>
  <si>
    <t>14:00- 14:20</t>
  </si>
  <si>
    <t>Grup 1</t>
  </si>
  <si>
    <t>Grup 2</t>
  </si>
  <si>
    <t>Grup 3</t>
  </si>
  <si>
    <t>Grup 4</t>
  </si>
  <si>
    <t>Grup 5</t>
  </si>
  <si>
    <t>Grup 6</t>
  </si>
  <si>
    <t>Grup 7</t>
  </si>
  <si>
    <t>Grup 8</t>
  </si>
  <si>
    <t>Grup 9</t>
  </si>
  <si>
    <t>Grup 10</t>
  </si>
  <si>
    <t>Grup 11</t>
  </si>
  <si>
    <t>Grup 12</t>
  </si>
  <si>
    <t>Grup 13</t>
  </si>
  <si>
    <t>Grup 14</t>
  </si>
  <si>
    <t>14:20 - 14:40</t>
  </si>
  <si>
    <t>14:40- 15:00</t>
  </si>
  <si>
    <t>15:00-  15:20</t>
  </si>
  <si>
    <t>15:20 - 15:40</t>
  </si>
  <si>
    <t>15:40 - 16:00</t>
  </si>
  <si>
    <t>ELIMINATÒRIES</t>
  </si>
  <si>
    <t>16:00 - 16:20</t>
  </si>
  <si>
    <t>Prèvia 1</t>
  </si>
  <si>
    <t>Prèvia 2</t>
  </si>
  <si>
    <t>16:20 - 16:40</t>
  </si>
  <si>
    <t>Prèvia 3</t>
  </si>
  <si>
    <t>16:40 -  17:00</t>
  </si>
  <si>
    <t>Setzens</t>
  </si>
  <si>
    <t>17:00 - 17:20</t>
  </si>
  <si>
    <t>17:20 - 17:40</t>
  </si>
  <si>
    <t>Vuitens</t>
  </si>
  <si>
    <t>17:40 - 18:00</t>
  </si>
  <si>
    <t>Quarts</t>
  </si>
  <si>
    <t>18:00- 18:20</t>
  </si>
  <si>
    <t>Semis</t>
  </si>
  <si>
    <t>18:20 - 18:40</t>
  </si>
  <si>
    <t>Final</t>
  </si>
  <si>
    <t>18:40 - 19:00</t>
  </si>
  <si>
    <t>2n. open del CIRCUIT PROVINCIAL</t>
  </si>
  <si>
    <t>OPEN PROVINCIAL D '  ALCARRÀS    15/12/2013</t>
  </si>
  <si>
    <t>TEMP   13/14</t>
  </si>
  <si>
    <t>Martínez, Manel</t>
  </si>
  <si>
    <t>Fernàndez, Cristian</t>
  </si>
  <si>
    <t>Fernàndez, Ivan</t>
  </si>
  <si>
    <t>Camí, Victor</t>
  </si>
  <si>
    <t>González, David</t>
  </si>
  <si>
    <t>Viladegut,Eduard</t>
  </si>
  <si>
    <t>Asensio V. Emili</t>
  </si>
  <si>
    <t>Arregui,David</t>
  </si>
  <si>
    <t>Vicedo, Marc</t>
  </si>
  <si>
    <t>Badia, Carles</t>
  </si>
  <si>
    <t>Calvet, Arnau</t>
  </si>
  <si>
    <t>Casas , Robin</t>
  </si>
  <si>
    <t>Farré,Xavier</t>
  </si>
  <si>
    <t>Purroy,Oriol</t>
  </si>
  <si>
    <t>Carrera, Jordi</t>
  </si>
  <si>
    <t>Sánchez, Toni</t>
  </si>
  <si>
    <t>Rubio, Roger</t>
  </si>
  <si>
    <t>Asensio T. Emili</t>
  </si>
  <si>
    <t>Vallès, Josep M.</t>
  </si>
  <si>
    <t>Gallart, Carles</t>
  </si>
  <si>
    <t>Sarri, Jordi</t>
  </si>
  <si>
    <t>Mir, Oriol</t>
  </si>
  <si>
    <t>Canós, Carles</t>
  </si>
  <si>
    <t>Garcia, Àngel</t>
  </si>
  <si>
    <t>Bernadó, Gerard</t>
  </si>
  <si>
    <t>Fernàndez LL. Ivan</t>
  </si>
  <si>
    <t>Florensa, Daniel</t>
  </si>
  <si>
    <t>Rodriguez, Josep M.</t>
  </si>
  <si>
    <t>Tudela, Ferran</t>
  </si>
  <si>
    <t>Roselló, Joel</t>
  </si>
  <si>
    <t>Latorre, Jordi</t>
  </si>
  <si>
    <t>Carrasquer, Carles</t>
  </si>
  <si>
    <t>Pons, Agustí</t>
  </si>
  <si>
    <t>Boldú, Enric</t>
  </si>
  <si>
    <t>Segura, Joan Carles</t>
  </si>
  <si>
    <t>Ferre, Arnau</t>
  </si>
  <si>
    <t>Soler, Albert</t>
  </si>
  <si>
    <t>Fuster, Alex</t>
  </si>
  <si>
    <t>Romera, Maria</t>
  </si>
  <si>
    <t>Rofes, Robert</t>
  </si>
  <si>
    <t>Perez, David</t>
  </si>
  <si>
    <t>Pop, Marius</t>
  </si>
  <si>
    <t>Parramon, Joel</t>
  </si>
  <si>
    <t>Santiago, Ricardo</t>
  </si>
  <si>
    <t>Linares, Enrique</t>
  </si>
  <si>
    <t>Pere Ibañez</t>
  </si>
  <si>
    <t>Antonio Sanchez</t>
  </si>
  <si>
    <t>Jordi Ros</t>
  </si>
  <si>
    <t>Dimitri Bus</t>
  </si>
  <si>
    <t>González, Joan</t>
  </si>
  <si>
    <t xml:space="preserve"> </t>
  </si>
  <si>
    <t/>
  </si>
  <si>
    <t>CTT Borges</t>
  </si>
  <si>
    <t>Arbitra:</t>
  </si>
  <si>
    <t xml:space="preserve">T2 </t>
  </si>
  <si>
    <t>r</t>
  </si>
  <si>
    <t>Albert Marquillas</t>
  </si>
  <si>
    <t>z</t>
  </si>
  <si>
    <t>3r</t>
  </si>
  <si>
    <t>2n</t>
  </si>
  <si>
    <t>1r</t>
  </si>
  <si>
    <t>4t</t>
  </si>
  <si>
    <t>Carlos Chaves</t>
  </si>
  <si>
    <t>Jordi Latorre</t>
  </si>
  <si>
    <t>Ricard Gomez</t>
  </si>
  <si>
    <t>Oriol Mir</t>
  </si>
  <si>
    <t>Cristian  Fernandez</t>
  </si>
  <si>
    <t>Patrick Rodriguez</t>
  </si>
  <si>
    <t>Ivan Fernandez</t>
  </si>
  <si>
    <t>Manel Martinez</t>
  </si>
  <si>
    <t>David Gonzalez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</si>
</sst>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_P_t_a;\-#,##0\ _P_t_a"/>
    <numFmt numFmtId="181" formatCode="#,##0\ _P_t_a;[Red]\-#,##0\ _P_t_a"/>
    <numFmt numFmtId="182" formatCode="#,##0.00\ _P_t_a;\-#,##0.00\ _P_t_a"/>
    <numFmt numFmtId="183" formatCode="#,##0.00\ _P_t_a;[Red]\-#,##0.00\ _P_t_a"/>
    <numFmt numFmtId="184" formatCode="_-* #,##0\ _P_t_a_-;\-* #,##0\ _P_t_a_-;_-* &quot;-&quot;\ _P_t_a_-;_-@_-"/>
    <numFmt numFmtId="185" formatCode="_-* #,##0.00\ _P_t_a_-;\-* #,##0.00\ _P_t_a_-;_-* &quot;-&quot;??\ _P_t_a_-;_-@_-"/>
    <numFmt numFmtId="186" formatCode="_-* #,##0\ _P_T_A_-;\-* #,##0\ _P_T_A_-;_-* &quot;-&quot;\ _P_T_A_-;_-@_-"/>
    <numFmt numFmtId="187" formatCode="_-* #,##0.00\ _P_T_A_-;\-* #,##0.00\ _P_T_A_-;_-* &quot;-&quot;??\ _P_T_A_-;_-@_-"/>
    <numFmt numFmtId="188" formatCode="00000"/>
    <numFmt numFmtId="189" formatCode="#,##0\ &quot;$&quot;;\-#,##0\ &quot;$&quot;"/>
    <numFmt numFmtId="190" formatCode="#,##0\ &quot;$&quot;;[Red]\-#,##0\ &quot;$&quot;"/>
    <numFmt numFmtId="191" formatCode="#,##0.00\ &quot;$&quot;;\-#,##0.00\ &quot;$&quot;"/>
    <numFmt numFmtId="192" formatCode="#,##0.00\ &quot;$&quot;;[Red]\-#,##0.00\ &quot;$&quot;"/>
    <numFmt numFmtId="193" formatCode="_-* #,##0\ &quot;$&quot;_-;\-* #,##0\ &quot;$&quot;_-;_-* &quot;-&quot;\ &quot;$&quot;_-;_-@_-"/>
    <numFmt numFmtId="194" formatCode="_-* #,##0\ _$_-;\-* #,##0\ _$_-;_-* &quot;-&quot;\ _$_-;_-@_-"/>
    <numFmt numFmtId="195" formatCode="_-* #,##0.00\ &quot;$&quot;_-;\-* #,##0.00\ &quot;$&quot;_-;_-* &quot;-&quot;??\ &quot;$&quot;_-;_-@_-"/>
    <numFmt numFmtId="196" formatCode="_-* #,##0.00\ _$_-;\-* #,##0.00\ _$_-;_-* &quot;-&quot;??\ _$_-;_-@_-"/>
    <numFmt numFmtId="197" formatCode="d/mm"/>
    <numFmt numFmtId="198" formatCode="d\-mmm"/>
    <numFmt numFmtId="199" formatCode="dd\-mm\-yy"/>
    <numFmt numFmtId="200" formatCode="d\-mmm\-yy"/>
    <numFmt numFmtId="201" formatCode="d\-m\-yy"/>
    <numFmt numFmtId="202" formatCode="d\-m"/>
    <numFmt numFmtId="203" formatCode="mmm\-yyyy"/>
    <numFmt numFmtId="204" formatCode="_(* #,##0.00_);_(* \(#,##0.00\);_(* &quot;-&quot;??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  <numFmt numFmtId="208" formatCode="0.0"/>
  </numFmts>
  <fonts count="5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12"/>
      <color indexed="9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66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medium"/>
      <bottom/>
    </border>
    <border>
      <left style="thin"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0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0" fontId="1" fillId="33" borderId="14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15" xfId="0" applyFont="1" applyBorder="1" applyAlignment="1">
      <alignment/>
    </xf>
    <xf numFmtId="14" fontId="0" fillId="0" borderId="0" xfId="0" applyNumberFormat="1" applyAlignment="1">
      <alignment/>
    </xf>
    <xf numFmtId="0" fontId="1" fillId="33" borderId="11" xfId="0" applyFont="1" applyFill="1" applyBorder="1" applyAlignment="1">
      <alignment/>
    </xf>
    <xf numFmtId="0" fontId="1" fillId="0" borderId="16" xfId="0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33" borderId="14" xfId="0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35" borderId="19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1" fillId="35" borderId="16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7" fillId="33" borderId="11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13" xfId="0" applyFont="1" applyFill="1" applyBorder="1" applyAlignment="1" quotePrefix="1">
      <alignment horizontal="right" vertical="center"/>
    </xf>
    <xf numFmtId="0" fontId="10" fillId="0" borderId="0" xfId="0" applyFont="1" applyAlignment="1">
      <alignment horizontal="centerContinuous"/>
    </xf>
    <xf numFmtId="0" fontId="0" fillId="0" borderId="28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11" fillId="0" borderId="0" xfId="0" applyFont="1" applyAlignment="1">
      <alignment/>
    </xf>
    <xf numFmtId="0" fontId="11" fillId="0" borderId="28" xfId="0" applyFont="1" applyBorder="1" applyAlignment="1">
      <alignment/>
    </xf>
    <xf numFmtId="0" fontId="9" fillId="33" borderId="0" xfId="0" applyFont="1" applyFill="1" applyAlignment="1" applyProtection="1">
      <alignment/>
      <protection locked="0"/>
    </xf>
    <xf numFmtId="0" fontId="7" fillId="0" borderId="30" xfId="0" applyFont="1" applyBorder="1" applyAlignment="1">
      <alignment horizontal="right"/>
    </xf>
    <xf numFmtId="0" fontId="9" fillId="33" borderId="31" xfId="0" applyFont="1" applyFill="1" applyBorder="1" applyAlignment="1" applyProtection="1">
      <alignment/>
      <protection locked="0"/>
    </xf>
    <xf numFmtId="0" fontId="1" fillId="0" borderId="29" xfId="0" applyFont="1" applyBorder="1" applyAlignment="1" applyProtection="1">
      <alignment/>
      <protection locked="0"/>
    </xf>
    <xf numFmtId="16" fontId="7" fillId="0" borderId="0" xfId="0" applyNumberFormat="1" applyFont="1" applyBorder="1" applyAlignment="1">
      <alignment horizontal="left"/>
    </xf>
    <xf numFmtId="0" fontId="1" fillId="0" borderId="0" xfId="0" applyFont="1" applyBorder="1" applyAlignment="1" applyProtection="1">
      <alignment/>
      <protection locked="0"/>
    </xf>
    <xf numFmtId="0" fontId="1" fillId="0" borderId="28" xfId="0" applyFont="1" applyBorder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30" xfId="0" applyFont="1" applyBorder="1" applyAlignment="1">
      <alignment/>
    </xf>
    <xf numFmtId="0" fontId="7" fillId="0" borderId="32" xfId="0" applyFont="1" applyBorder="1" applyAlignment="1">
      <alignment horizontal="right"/>
    </xf>
    <xf numFmtId="0" fontId="1" fillId="0" borderId="32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0" xfId="0" applyFont="1" applyBorder="1" applyAlignment="1">
      <alignment/>
    </xf>
    <xf numFmtId="20" fontId="7" fillId="0" borderId="0" xfId="0" applyNumberFormat="1" applyFont="1" applyBorder="1" applyAlignment="1">
      <alignment horizontal="center"/>
    </xf>
    <xf numFmtId="0" fontId="11" fillId="0" borderId="29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33" xfId="0" applyFont="1" applyBorder="1" applyAlignment="1">
      <alignment horizontal="center"/>
    </xf>
    <xf numFmtId="0" fontId="1" fillId="33" borderId="15" xfId="0" applyFont="1" applyFill="1" applyBorder="1" applyAlignment="1">
      <alignment/>
    </xf>
    <xf numFmtId="0" fontId="8" fillId="36" borderId="11" xfId="0" applyFont="1" applyFill="1" applyBorder="1" applyAlignment="1">
      <alignment horizontal="left"/>
    </xf>
    <xf numFmtId="0" fontId="8" fillId="36" borderId="12" xfId="0" applyFont="1" applyFill="1" applyBorder="1" applyAlignment="1">
      <alignment horizontal="right"/>
    </xf>
    <xf numFmtId="0" fontId="12" fillId="0" borderId="0" xfId="0" applyFont="1" applyAlignment="1">
      <alignment/>
    </xf>
    <xf numFmtId="0" fontId="12" fillId="0" borderId="22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" fillId="37" borderId="15" xfId="0" applyFont="1" applyFill="1" applyBorder="1" applyAlignment="1">
      <alignment/>
    </xf>
    <xf numFmtId="0" fontId="7" fillId="0" borderId="30" xfId="0" applyFont="1" applyBorder="1" applyAlignment="1">
      <alignment horizontal="right"/>
    </xf>
    <xf numFmtId="0" fontId="7" fillId="0" borderId="32" xfId="0" applyFont="1" applyBorder="1" applyAlignment="1">
      <alignment horizontal="right"/>
    </xf>
    <xf numFmtId="0" fontId="10" fillId="33" borderId="14" xfId="0" applyFont="1" applyFill="1" applyBorder="1" applyAlignment="1" applyProtection="1">
      <alignment horizontal="center"/>
      <protection locked="0"/>
    </xf>
    <xf numFmtId="0" fontId="10" fillId="0" borderId="2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0" borderId="13" xfId="0" applyFont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35" borderId="16" xfId="0" applyFont="1" applyFill="1" applyBorder="1" applyAlignment="1">
      <alignment horizontal="center"/>
    </xf>
    <xf numFmtId="0" fontId="10" fillId="35" borderId="25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10" fillId="35" borderId="26" xfId="0" applyFont="1" applyFill="1" applyBorder="1" applyAlignment="1">
      <alignment horizontal="center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0" fillId="35" borderId="23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0" fontId="10" fillId="35" borderId="27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1" fillId="38" borderId="0" xfId="0" applyFont="1" applyFill="1" applyAlignment="1">
      <alignment/>
    </xf>
    <xf numFmtId="0" fontId="11" fillId="38" borderId="28" xfId="0" applyFont="1" applyFill="1" applyBorder="1" applyAlignment="1">
      <alignment/>
    </xf>
    <xf numFmtId="0" fontId="0" fillId="38" borderId="0" xfId="0" applyFont="1" applyFill="1" applyAlignment="1">
      <alignment/>
    </xf>
    <xf numFmtId="0" fontId="0" fillId="38" borderId="28" xfId="0" applyFont="1" applyFill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4" xfId="0" applyFont="1" applyBorder="1" applyAlignment="1">
      <alignment/>
    </xf>
    <xf numFmtId="0" fontId="15" fillId="39" borderId="34" xfId="0" applyFont="1" applyFill="1" applyBorder="1" applyAlignment="1">
      <alignment/>
    </xf>
    <xf numFmtId="0" fontId="15" fillId="39" borderId="27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15" xfId="0" applyFont="1" applyBorder="1" applyAlignment="1">
      <alignment/>
    </xf>
    <xf numFmtId="0" fontId="16" fillId="0" borderId="35" xfId="0" applyFont="1" applyBorder="1" applyAlignment="1">
      <alignment/>
    </xf>
    <xf numFmtId="0" fontId="16" fillId="0" borderId="0" xfId="0" applyFont="1" applyAlignment="1">
      <alignment/>
    </xf>
    <xf numFmtId="0" fontId="16" fillId="0" borderId="36" xfId="0" applyFont="1" applyBorder="1" applyAlignment="1">
      <alignment/>
    </xf>
    <xf numFmtId="0" fontId="15" fillId="0" borderId="36" xfId="0" applyFont="1" applyBorder="1" applyAlignment="1">
      <alignment/>
    </xf>
    <xf numFmtId="0" fontId="16" fillId="0" borderId="36" xfId="0" applyFont="1" applyBorder="1" applyAlignment="1">
      <alignment/>
    </xf>
    <xf numFmtId="0" fontId="0" fillId="0" borderId="0" xfId="54">
      <alignment/>
      <protection/>
    </xf>
    <xf numFmtId="0" fontId="0" fillId="0" borderId="0" xfId="54" applyAlignment="1">
      <alignment horizontal="center"/>
      <protection/>
    </xf>
    <xf numFmtId="0" fontId="0" fillId="0" borderId="0" xfId="54" applyFont="1" applyAlignment="1">
      <alignment horizontal="center"/>
      <protection/>
    </xf>
    <xf numFmtId="0" fontId="7" fillId="0" borderId="0" xfId="54" applyFont="1">
      <alignment/>
      <protection/>
    </xf>
    <xf numFmtId="0" fontId="1" fillId="40" borderId="37" xfId="54" applyFont="1" applyFill="1" applyBorder="1" applyAlignment="1">
      <alignment horizontal="center"/>
      <protection/>
    </xf>
    <xf numFmtId="0" fontId="1" fillId="40" borderId="29" xfId="54" applyFont="1" applyFill="1" applyBorder="1" applyAlignment="1">
      <alignment horizontal="center"/>
      <protection/>
    </xf>
    <xf numFmtId="0" fontId="1" fillId="41" borderId="38" xfId="54" applyFont="1" applyFill="1" applyBorder="1" applyAlignment="1">
      <alignment horizontal="center"/>
      <protection/>
    </xf>
    <xf numFmtId="0" fontId="1" fillId="41" borderId="29" xfId="54" applyFont="1" applyFill="1" applyBorder="1" applyAlignment="1">
      <alignment horizontal="center"/>
      <protection/>
    </xf>
    <xf numFmtId="0" fontId="0" fillId="15" borderId="39" xfId="54" applyFill="1" applyBorder="1" applyAlignment="1">
      <alignment horizontal="center"/>
      <protection/>
    </xf>
    <xf numFmtId="20" fontId="7" fillId="0" borderId="0" xfId="54" applyNumberFormat="1" applyFont="1">
      <alignment/>
      <protection/>
    </xf>
    <xf numFmtId="0" fontId="1" fillId="40" borderId="40" xfId="54" applyFont="1" applyFill="1" applyBorder="1" applyAlignment="1">
      <alignment horizontal="center"/>
      <protection/>
    </xf>
    <xf numFmtId="0" fontId="1" fillId="40" borderId="0" xfId="54" applyFont="1" applyFill="1" applyBorder="1" applyAlignment="1">
      <alignment horizontal="center"/>
      <protection/>
    </xf>
    <xf numFmtId="0" fontId="1" fillId="41" borderId="41" xfId="54" applyFont="1" applyFill="1" applyBorder="1" applyAlignment="1">
      <alignment horizontal="center"/>
      <protection/>
    </xf>
    <xf numFmtId="0" fontId="1" fillId="41" borderId="0" xfId="54" applyFont="1" applyFill="1" applyBorder="1" applyAlignment="1">
      <alignment horizontal="center"/>
      <protection/>
    </xf>
    <xf numFmtId="0" fontId="0" fillId="15" borderId="41" xfId="54" applyFill="1" applyBorder="1" applyAlignment="1">
      <alignment horizontal="center"/>
      <protection/>
    </xf>
    <xf numFmtId="0" fontId="1" fillId="40" borderId="42" xfId="54" applyFont="1" applyFill="1" applyBorder="1" applyAlignment="1">
      <alignment horizontal="center"/>
      <protection/>
    </xf>
    <xf numFmtId="0" fontId="1" fillId="40" borderId="28" xfId="54" applyFont="1" applyFill="1" applyBorder="1" applyAlignment="1">
      <alignment horizontal="center"/>
      <protection/>
    </xf>
    <xf numFmtId="0" fontId="1" fillId="41" borderId="43" xfId="54" applyFont="1" applyFill="1" applyBorder="1" applyAlignment="1">
      <alignment horizontal="center"/>
      <protection/>
    </xf>
    <xf numFmtId="0" fontId="1" fillId="41" borderId="28" xfId="54" applyFont="1" applyFill="1" applyBorder="1" applyAlignment="1">
      <alignment horizontal="center"/>
      <protection/>
    </xf>
    <xf numFmtId="0" fontId="7" fillId="0" borderId="0" xfId="54" applyFont="1" applyFill="1" applyBorder="1">
      <alignment/>
      <protection/>
    </xf>
    <xf numFmtId="0" fontId="1" fillId="38" borderId="37" xfId="54" applyFont="1" applyFill="1" applyBorder="1" applyAlignment="1">
      <alignment horizontal="center"/>
      <protection/>
    </xf>
    <xf numFmtId="0" fontId="1" fillId="40" borderId="30" xfId="54" applyFont="1" applyFill="1" applyBorder="1" applyAlignment="1">
      <alignment horizontal="center"/>
      <protection/>
    </xf>
    <xf numFmtId="0" fontId="1" fillId="40" borderId="0" xfId="54" applyFont="1" applyFill="1" applyAlignment="1">
      <alignment horizontal="center"/>
      <protection/>
    </xf>
    <xf numFmtId="0" fontId="1" fillId="41" borderId="37" xfId="54" applyFont="1" applyFill="1" applyBorder="1" applyAlignment="1">
      <alignment horizontal="center"/>
      <protection/>
    </xf>
    <xf numFmtId="0" fontId="1" fillId="0" borderId="29" xfId="54" applyFont="1" applyFill="1" applyBorder="1" applyAlignment="1">
      <alignment horizontal="center"/>
      <protection/>
    </xf>
    <xf numFmtId="0" fontId="1" fillId="41" borderId="30" xfId="54" applyFont="1" applyFill="1" applyBorder="1" applyAlignment="1">
      <alignment horizontal="center"/>
      <protection/>
    </xf>
    <xf numFmtId="0" fontId="0" fillId="15" borderId="0" xfId="54" applyFill="1" applyAlignment="1">
      <alignment horizontal="center"/>
      <protection/>
    </xf>
    <xf numFmtId="0" fontId="1" fillId="38" borderId="40" xfId="54" applyFont="1" applyFill="1" applyBorder="1" applyAlignment="1">
      <alignment horizontal="center"/>
      <protection/>
    </xf>
    <xf numFmtId="0" fontId="1" fillId="40" borderId="32" xfId="54" applyFont="1" applyFill="1" applyBorder="1" applyAlignment="1">
      <alignment horizontal="center"/>
      <protection/>
    </xf>
    <xf numFmtId="0" fontId="1" fillId="41" borderId="40" xfId="54" applyFont="1" applyFill="1" applyBorder="1" applyAlignment="1">
      <alignment horizontal="center"/>
      <protection/>
    </xf>
    <xf numFmtId="0" fontId="1" fillId="0" borderId="0" xfId="54" applyFont="1" applyFill="1" applyBorder="1" applyAlignment="1">
      <alignment horizontal="center"/>
      <protection/>
    </xf>
    <xf numFmtId="0" fontId="1" fillId="41" borderId="32" xfId="54" applyFont="1" applyFill="1" applyBorder="1" applyAlignment="1">
      <alignment horizontal="center"/>
      <protection/>
    </xf>
    <xf numFmtId="0" fontId="1" fillId="38" borderId="42" xfId="54" applyFont="1" applyFill="1" applyBorder="1" applyAlignment="1">
      <alignment horizontal="center"/>
      <protection/>
    </xf>
    <xf numFmtId="0" fontId="1" fillId="40" borderId="31" xfId="54" applyFont="1" applyFill="1" applyBorder="1" applyAlignment="1">
      <alignment horizontal="center"/>
      <protection/>
    </xf>
    <xf numFmtId="0" fontId="1" fillId="41" borderId="42" xfId="54" applyFont="1" applyFill="1" applyBorder="1" applyAlignment="1">
      <alignment horizontal="center"/>
      <protection/>
    </xf>
    <xf numFmtId="0" fontId="1" fillId="0" borderId="28" xfId="54" applyFont="1" applyFill="1" applyBorder="1" applyAlignment="1">
      <alignment horizontal="center"/>
      <protection/>
    </xf>
    <xf numFmtId="0" fontId="1" fillId="41" borderId="31" xfId="54" applyFont="1" applyFill="1" applyBorder="1" applyAlignment="1">
      <alignment horizontal="center"/>
      <protection/>
    </xf>
    <xf numFmtId="0" fontId="1" fillId="42" borderId="0" xfId="54" applyFont="1" applyFill="1" applyAlignment="1">
      <alignment horizontal="center"/>
      <protection/>
    </xf>
    <xf numFmtId="0" fontId="0" fillId="43" borderId="0" xfId="54" applyFill="1" applyAlignment="1">
      <alignment horizontal="center"/>
      <protection/>
    </xf>
    <xf numFmtId="0" fontId="0" fillId="38" borderId="0" xfId="54" applyFill="1" applyAlignment="1">
      <alignment horizontal="center"/>
      <protection/>
    </xf>
    <xf numFmtId="0" fontId="1" fillId="44" borderId="0" xfId="54" applyFont="1" applyFill="1" applyAlignment="1">
      <alignment horizontal="center"/>
      <protection/>
    </xf>
    <xf numFmtId="0" fontId="0" fillId="0" borderId="0" xfId="54" applyFill="1" applyAlignment="1">
      <alignment horizontal="center"/>
      <protection/>
    </xf>
    <xf numFmtId="0" fontId="1" fillId="38" borderId="0" xfId="54" applyFont="1" applyFill="1" applyAlignment="1">
      <alignment horizontal="center"/>
      <protection/>
    </xf>
    <xf numFmtId="0" fontId="1" fillId="42" borderId="0" xfId="54" applyFont="1" applyFill="1" applyBorder="1" applyAlignment="1">
      <alignment horizontal="center"/>
      <protection/>
    </xf>
    <xf numFmtId="0" fontId="1" fillId="0" borderId="0" xfId="54" applyFont="1">
      <alignment/>
      <protection/>
    </xf>
    <xf numFmtId="0" fontId="1" fillId="38" borderId="0" xfId="54" applyFont="1" applyFill="1">
      <alignment/>
      <protection/>
    </xf>
    <xf numFmtId="0" fontId="0" fillId="45" borderId="0" xfId="54" applyFill="1" applyAlignment="1">
      <alignment horizontal="center"/>
      <protection/>
    </xf>
    <xf numFmtId="0" fontId="0" fillId="45" borderId="0" xfId="54" applyFill="1">
      <alignment/>
      <protection/>
    </xf>
    <xf numFmtId="0" fontId="0" fillId="46" borderId="0" xfId="54" applyFill="1" applyAlignment="1">
      <alignment horizontal="center"/>
      <protection/>
    </xf>
    <xf numFmtId="0" fontId="53" fillId="0" borderId="0" xfId="54" applyFont="1">
      <alignment/>
      <protection/>
    </xf>
    <xf numFmtId="0" fontId="0" fillId="47" borderId="0" xfId="54" applyFill="1">
      <alignment/>
      <protection/>
    </xf>
    <xf numFmtId="0" fontId="0" fillId="16" borderId="0" xfId="54" applyFill="1">
      <alignment/>
      <protection/>
    </xf>
    <xf numFmtId="0" fontId="0" fillId="15" borderId="0" xfId="54" applyFill="1">
      <alignment/>
      <protection/>
    </xf>
    <xf numFmtId="0" fontId="0" fillId="17" borderId="0" xfId="54" applyFill="1">
      <alignment/>
      <protection/>
    </xf>
    <xf numFmtId="0" fontId="0" fillId="48" borderId="0" xfId="54" applyFill="1">
      <alignment/>
      <protection/>
    </xf>
    <xf numFmtId="0" fontId="0" fillId="49" borderId="0" xfId="54" applyFill="1">
      <alignment/>
      <protection/>
    </xf>
    <xf numFmtId="0" fontId="0" fillId="41" borderId="0" xfId="54" applyFill="1">
      <alignment/>
      <protection/>
    </xf>
    <xf numFmtId="0" fontId="0" fillId="0" borderId="0" xfId="54" applyFill="1">
      <alignment/>
      <protection/>
    </xf>
    <xf numFmtId="20" fontId="10" fillId="0" borderId="14" xfId="0" applyNumberFormat="1" applyFont="1" applyBorder="1" applyAlignment="1">
      <alignment horizontal="center"/>
    </xf>
    <xf numFmtId="0" fontId="10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 quotePrefix="1">
      <alignment/>
    </xf>
    <xf numFmtId="0" fontId="15" fillId="39" borderId="0" xfId="0" applyFont="1" applyFill="1" applyBorder="1" applyAlignment="1">
      <alignment/>
    </xf>
    <xf numFmtId="0" fontId="16" fillId="0" borderId="44" xfId="0" applyFont="1" applyBorder="1" applyAlignment="1">
      <alignment/>
    </xf>
    <xf numFmtId="0" fontId="16" fillId="0" borderId="39" xfId="0" applyFont="1" applyBorder="1" applyAlignment="1">
      <alignment/>
    </xf>
    <xf numFmtId="0" fontId="16" fillId="0" borderId="45" xfId="0" applyFont="1" applyBorder="1" applyAlignment="1">
      <alignment/>
    </xf>
    <xf numFmtId="0" fontId="16" fillId="3" borderId="0" xfId="0" applyFont="1" applyFill="1" applyAlignment="1">
      <alignment/>
    </xf>
    <xf numFmtId="0" fontId="6" fillId="36" borderId="12" xfId="0" applyFont="1" applyFill="1" applyBorder="1" applyAlignment="1">
      <alignment horizontal="centerContinuous" vertical="center"/>
    </xf>
    <xf numFmtId="0" fontId="6" fillId="36" borderId="13" xfId="0" applyFont="1" applyFill="1" applyBorder="1" applyAlignment="1">
      <alignment horizontal="left" vertical="center"/>
    </xf>
    <xf numFmtId="20" fontId="10" fillId="33" borderId="14" xfId="0" applyNumberFormat="1" applyFont="1" applyFill="1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0" fillId="33" borderId="14" xfId="0" applyFont="1" applyFill="1" applyBorder="1" applyAlignment="1" applyProtection="1" quotePrefix="1">
      <alignment horizontal="center"/>
      <protection locked="0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50" borderId="11" xfId="0" applyFont="1" applyFill="1" applyBorder="1" applyAlignment="1">
      <alignment horizontal="center"/>
    </xf>
    <xf numFmtId="0" fontId="10" fillId="50" borderId="12" xfId="0" applyFont="1" applyFill="1" applyBorder="1" applyAlignment="1">
      <alignment horizontal="center"/>
    </xf>
    <xf numFmtId="0" fontId="10" fillId="50" borderId="46" xfId="0" applyFont="1" applyFill="1" applyBorder="1" applyAlignment="1">
      <alignment horizontal="center"/>
    </xf>
    <xf numFmtId="0" fontId="10" fillId="50" borderId="47" xfId="0" applyFont="1" applyFill="1" applyBorder="1" applyAlignment="1">
      <alignment horizontal="center"/>
    </xf>
    <xf numFmtId="0" fontId="10" fillId="50" borderId="13" xfId="0" applyFont="1" applyFill="1" applyBorder="1" applyAlignment="1">
      <alignment horizont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35" borderId="19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0" fillId="33" borderId="48" xfId="0" applyFont="1" applyFill="1" applyBorder="1" applyAlignment="1">
      <alignment horizontal="center"/>
    </xf>
    <xf numFmtId="0" fontId="10" fillId="33" borderId="49" xfId="0" applyFont="1" applyFill="1" applyBorder="1" applyAlignment="1">
      <alignment horizontal="center"/>
    </xf>
    <xf numFmtId="0" fontId="10" fillId="33" borderId="50" xfId="0" applyFont="1" applyFill="1" applyBorder="1" applyAlignment="1">
      <alignment horizontal="center"/>
    </xf>
    <xf numFmtId="0" fontId="10" fillId="0" borderId="3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33" borderId="51" xfId="0" applyFont="1" applyFill="1" applyBorder="1" applyAlignment="1">
      <alignment horizontal="center"/>
    </xf>
    <xf numFmtId="0" fontId="10" fillId="33" borderId="52" xfId="0" applyFont="1" applyFill="1" applyBorder="1" applyAlignment="1">
      <alignment horizontal="center"/>
    </xf>
    <xf numFmtId="0" fontId="10" fillId="33" borderId="53" xfId="0" applyFont="1" applyFill="1" applyBorder="1" applyAlignment="1">
      <alignment horizontal="center"/>
    </xf>
    <xf numFmtId="0" fontId="10" fillId="35" borderId="20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54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3" fillId="33" borderId="0" xfId="0" applyFont="1" applyFill="1" applyAlignment="1">
      <alignment horizontal="center" vertical="center"/>
    </xf>
    <xf numFmtId="0" fontId="1" fillId="33" borderId="51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3" borderId="48" xfId="0" applyFont="1" applyFill="1" applyBorder="1" applyAlignment="1">
      <alignment horizontal="center"/>
    </xf>
    <xf numFmtId="0" fontId="1" fillId="33" borderId="49" xfId="0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35" borderId="19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6" fontId="17" fillId="3" borderId="37" xfId="0" applyNumberFormat="1" applyFont="1" applyFill="1" applyBorder="1" applyAlignment="1">
      <alignment horizontal="center" vertical="center"/>
    </xf>
    <xf numFmtId="16" fontId="17" fillId="3" borderId="29" xfId="0" applyNumberFormat="1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6" fontId="17" fillId="3" borderId="0" xfId="0" applyNumberFormat="1" applyFont="1" applyFill="1" applyBorder="1" applyAlignment="1">
      <alignment horizontal="center" vertical="center"/>
    </xf>
    <xf numFmtId="16" fontId="16" fillId="3" borderId="55" xfId="0" applyNumberFormat="1" applyFont="1" applyFill="1" applyBorder="1" applyAlignment="1">
      <alignment horizontal="center"/>
    </xf>
    <xf numFmtId="0" fontId="16" fillId="3" borderId="55" xfId="0" applyFont="1" applyFill="1" applyBorder="1" applyAlignment="1">
      <alignment horizontal="center"/>
    </xf>
    <xf numFmtId="17" fontId="16" fillId="39" borderId="0" xfId="0" applyNumberFormat="1" applyFont="1" applyFill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Feder\00-01\Compet\TOPS\1T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1T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y%20Documents\1TO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open%2026-10-2014%20centre\Absolut%208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tlletes"/>
      <sheetName val="Org. Nº. RK"/>
      <sheetName val="Rànquing"/>
      <sheetName val="12 Taules (68)"/>
      <sheetName val="12 Taules(88)"/>
      <sheetName val="1a Fase Individuals Absolut"/>
      <sheetName val="1a Fase Individuals Absolut (2)"/>
      <sheetName val="Imprimir Fase Final Absolut"/>
      <sheetName val="Fase Final Absolut (2)"/>
      <sheetName val="Fase Ind. Fem."/>
      <sheetName val="1a Fase Inf."/>
      <sheetName val="Fase Final Inf."/>
      <sheetName val="Fase Ind. Inf. No. Fed."/>
      <sheetName val="Fase Final Inf. No Fed."/>
      <sheetName val="Individuals Absolut Lleure "/>
    </sheetNames>
    <sheetDataSet>
      <sheetData sheetId="11">
        <row r="11">
          <cell r="E11">
            <v>2</v>
          </cell>
        </row>
        <row r="15">
          <cell r="I15">
            <v>2</v>
          </cell>
        </row>
        <row r="19">
          <cell r="E19">
            <v>0</v>
          </cell>
        </row>
        <row r="23">
          <cell r="M23">
            <v>2</v>
          </cell>
        </row>
        <row r="27">
          <cell r="E27">
            <v>0</v>
          </cell>
        </row>
        <row r="31">
          <cell r="I31">
            <v>0</v>
          </cell>
        </row>
        <row r="35">
          <cell r="E35">
            <v>2</v>
          </cell>
        </row>
        <row r="43">
          <cell r="E43">
            <v>2</v>
          </cell>
        </row>
        <row r="47">
          <cell r="I47">
            <v>1</v>
          </cell>
        </row>
        <row r="51">
          <cell r="E51">
            <v>0</v>
          </cell>
        </row>
        <row r="55">
          <cell r="M55">
            <v>1</v>
          </cell>
        </row>
        <row r="59">
          <cell r="E59">
            <v>1</v>
          </cell>
        </row>
        <row r="63">
          <cell r="I63">
            <v>2</v>
          </cell>
        </row>
        <row r="67">
          <cell r="E67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E11" t="str">
            <v>OSCAR</v>
          </cell>
        </row>
        <row r="15">
          <cell r="I15" t="str">
            <v>OSCAR</v>
          </cell>
        </row>
        <row r="19">
          <cell r="E19" t="str">
            <v>OSCAR</v>
          </cell>
        </row>
        <row r="23">
          <cell r="M23" t="str">
            <v>OSCAR</v>
          </cell>
        </row>
        <row r="27">
          <cell r="E27" t="str">
            <v>OSCAR</v>
          </cell>
        </row>
        <row r="31">
          <cell r="I31" t="str">
            <v>OSCAR</v>
          </cell>
        </row>
        <row r="35">
          <cell r="E35" t="str">
            <v>OSCAR</v>
          </cell>
        </row>
        <row r="43">
          <cell r="E43" t="str">
            <v>OSCAR</v>
          </cell>
        </row>
        <row r="47">
          <cell r="I47" t="str">
            <v>OSCAR</v>
          </cell>
        </row>
        <row r="51">
          <cell r="E51" t="str">
            <v>OSCAR</v>
          </cell>
        </row>
        <row r="55">
          <cell r="M55" t="str">
            <v>OSCAR</v>
          </cell>
        </row>
        <row r="59">
          <cell r="E59" t="str">
            <v>OSCAR</v>
          </cell>
        </row>
        <row r="63">
          <cell r="I63" t="str">
            <v>OSCAR</v>
          </cell>
        </row>
        <row r="67">
          <cell r="E67" t="str">
            <v>OSCAR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E11" t="str">
            <v>OSCAR</v>
          </cell>
        </row>
        <row r="15">
          <cell r="I15" t="str">
            <v>OSCAR</v>
          </cell>
        </row>
        <row r="19">
          <cell r="E19" t="str">
            <v>OSCAR</v>
          </cell>
        </row>
        <row r="23">
          <cell r="M23" t="str">
            <v>OSCAR</v>
          </cell>
        </row>
        <row r="27">
          <cell r="E27" t="str">
            <v>OSCAR</v>
          </cell>
        </row>
        <row r="31">
          <cell r="I31" t="str">
            <v>OSCAR</v>
          </cell>
        </row>
        <row r="35">
          <cell r="E35" t="str">
            <v>OSCAR</v>
          </cell>
        </row>
        <row r="43">
          <cell r="E43" t="str">
            <v>OSCAR</v>
          </cell>
        </row>
        <row r="47">
          <cell r="I47" t="str">
            <v>OSCAR</v>
          </cell>
        </row>
        <row r="51">
          <cell r="E51" t="str">
            <v>OSCAR</v>
          </cell>
        </row>
        <row r="55">
          <cell r="M55" t="str">
            <v>OSCAR</v>
          </cell>
        </row>
        <row r="59">
          <cell r="E59" t="str">
            <v>OSCAR</v>
          </cell>
        </row>
        <row r="63">
          <cell r="I63" t="str">
            <v>OSCAR</v>
          </cell>
        </row>
        <row r="67">
          <cell r="E67" t="str">
            <v>OSCAR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2 taules"/>
      <sheetName val="Inscripcions"/>
      <sheetName val="Fase_grups_ABS"/>
      <sheetName val="Fase Final Absolut"/>
      <sheetName val="prèvia1"/>
      <sheetName val="prèvia2"/>
      <sheetName val="prèvia3"/>
      <sheetName val="SETZENS"/>
      <sheetName val="VUITENS"/>
      <sheetName val="QUARTS"/>
      <sheetName val="Hoja1"/>
    </sheetNames>
    <sheetDataSet>
      <sheetData sheetId="1">
        <row r="1">
          <cell r="A1" t="str">
            <v>2n. open del CIRCUIT PROVINCIAL</v>
          </cell>
          <cell r="D1" t="str">
            <v>OPEN PROVINCIAL     CENTRE DE TECNIFICACIÓ      26/10/2014</v>
          </cell>
          <cell r="G1" t="str">
            <v>TEMP   14/15</v>
          </cell>
        </row>
        <row r="7">
          <cell r="A7">
            <v>1</v>
          </cell>
          <cell r="B7" t="str">
            <v>David González</v>
          </cell>
        </row>
        <row r="8">
          <cell r="A8">
            <v>2</v>
          </cell>
          <cell r="B8" t="str">
            <v>Jordi Latorre</v>
          </cell>
        </row>
        <row r="9">
          <cell r="A9">
            <v>3</v>
          </cell>
          <cell r="B9" t="str">
            <v>Ricard Gómez</v>
          </cell>
        </row>
        <row r="10">
          <cell r="A10">
            <v>4</v>
          </cell>
          <cell r="B10" t="str">
            <v>Oriol Mir</v>
          </cell>
        </row>
        <row r="11">
          <cell r="A11">
            <v>5</v>
          </cell>
          <cell r="B11" t="str">
            <v>Patrick Rodriguez</v>
          </cell>
        </row>
        <row r="12">
          <cell r="A12">
            <v>6</v>
          </cell>
          <cell r="B12" t="str">
            <v>Ivan Fernández</v>
          </cell>
        </row>
        <row r="13">
          <cell r="A13">
            <v>7</v>
          </cell>
          <cell r="B13" t="str">
            <v>Cristian Fernández</v>
          </cell>
        </row>
        <row r="14">
          <cell r="A14">
            <v>8</v>
          </cell>
          <cell r="B14" t="str">
            <v>Manel Martínez</v>
          </cell>
        </row>
        <row r="15">
          <cell r="A15">
            <v>9</v>
          </cell>
          <cell r="B15" t="str">
            <v>Carles Margalida</v>
          </cell>
        </row>
        <row r="16">
          <cell r="A16">
            <v>10</v>
          </cell>
          <cell r="B16" t="str">
            <v>Ramon Macià</v>
          </cell>
        </row>
        <row r="17">
          <cell r="A17">
            <v>11</v>
          </cell>
          <cell r="B17" t="str">
            <v>Victor Camí</v>
          </cell>
        </row>
        <row r="18">
          <cell r="A18">
            <v>12</v>
          </cell>
          <cell r="B18" t="str">
            <v>Albert Ribera</v>
          </cell>
        </row>
        <row r="19">
          <cell r="A19">
            <v>13</v>
          </cell>
          <cell r="B19" t="str">
            <v>Jordi Fontanet</v>
          </cell>
        </row>
        <row r="20">
          <cell r="A20">
            <v>14</v>
          </cell>
          <cell r="B20" t="str">
            <v>David Subirà</v>
          </cell>
        </row>
        <row r="21">
          <cell r="A21">
            <v>15</v>
          </cell>
          <cell r="B21" t="str">
            <v>Albert Feliu</v>
          </cell>
        </row>
        <row r="22">
          <cell r="A22">
            <v>16</v>
          </cell>
          <cell r="B22" t="str">
            <v>Alex Carrera</v>
          </cell>
        </row>
        <row r="23">
          <cell r="A23">
            <v>17</v>
          </cell>
          <cell r="B23" t="str">
            <v>Francesc Solans</v>
          </cell>
        </row>
        <row r="24">
          <cell r="A24">
            <v>18</v>
          </cell>
          <cell r="B24" t="str">
            <v>David Arregui</v>
          </cell>
        </row>
        <row r="25">
          <cell r="A25">
            <v>19</v>
          </cell>
          <cell r="B25" t="str">
            <v>Lluís Torné</v>
          </cell>
        </row>
        <row r="26">
          <cell r="A26">
            <v>20</v>
          </cell>
          <cell r="B26" t="str">
            <v>Guillem Sans</v>
          </cell>
        </row>
        <row r="27">
          <cell r="A27">
            <v>21</v>
          </cell>
          <cell r="B27" t="str">
            <v>Eduard Viladegut</v>
          </cell>
        </row>
        <row r="28">
          <cell r="A28">
            <v>22</v>
          </cell>
          <cell r="B28" t="str">
            <v>Guillem Arbiol</v>
          </cell>
        </row>
        <row r="29">
          <cell r="A29">
            <v>23</v>
          </cell>
          <cell r="B29" t="str">
            <v>Roger Rubió</v>
          </cell>
        </row>
        <row r="30">
          <cell r="A30">
            <v>24</v>
          </cell>
          <cell r="B30" t="str">
            <v>Miguel Hernàndez</v>
          </cell>
        </row>
        <row r="31">
          <cell r="A31">
            <v>25</v>
          </cell>
          <cell r="B31" t="str">
            <v>Agustí Sanz</v>
          </cell>
        </row>
        <row r="32">
          <cell r="A32">
            <v>26</v>
          </cell>
          <cell r="B32" t="str">
            <v>Dimitri Bus</v>
          </cell>
        </row>
        <row r="33">
          <cell r="A33">
            <v>27</v>
          </cell>
          <cell r="B33" t="str">
            <v>Carles Gallart</v>
          </cell>
        </row>
        <row r="34">
          <cell r="A34">
            <v>28</v>
          </cell>
          <cell r="B34" t="str">
            <v>Marc Molina</v>
          </cell>
        </row>
        <row r="35">
          <cell r="A35">
            <v>29</v>
          </cell>
          <cell r="B35" t="str">
            <v>Pere Porta</v>
          </cell>
        </row>
        <row r="36">
          <cell r="A36">
            <v>30</v>
          </cell>
          <cell r="B36" t="str">
            <v>Pau Vendrell</v>
          </cell>
        </row>
        <row r="37">
          <cell r="A37">
            <v>31</v>
          </cell>
          <cell r="B37" t="str">
            <v>Guillem Almacellas</v>
          </cell>
        </row>
        <row r="38">
          <cell r="A38">
            <v>32</v>
          </cell>
          <cell r="B38" t="str">
            <v>Arnau Calvet</v>
          </cell>
        </row>
        <row r="39">
          <cell r="A39">
            <v>33</v>
          </cell>
          <cell r="B39" t="str">
            <v>Arnau Ferre</v>
          </cell>
        </row>
        <row r="40">
          <cell r="A40">
            <v>34</v>
          </cell>
          <cell r="B40" t="str">
            <v>Josep Garcia</v>
          </cell>
        </row>
        <row r="41">
          <cell r="A41">
            <v>35</v>
          </cell>
          <cell r="B41" t="str">
            <v>Francesc Juncosa</v>
          </cell>
        </row>
        <row r="42">
          <cell r="A42">
            <v>36</v>
          </cell>
          <cell r="B42" t="str">
            <v>Joan Palau</v>
          </cell>
        </row>
        <row r="43">
          <cell r="A43">
            <v>37</v>
          </cell>
          <cell r="B43" t="str">
            <v>Pol Patau</v>
          </cell>
        </row>
        <row r="44">
          <cell r="A44">
            <v>38</v>
          </cell>
          <cell r="B44" t="str">
            <v>Jaume Cordoba</v>
          </cell>
        </row>
        <row r="45">
          <cell r="A45">
            <v>39</v>
          </cell>
          <cell r="B45" t="str">
            <v>Carles Bascompte</v>
          </cell>
        </row>
        <row r="46">
          <cell r="A46">
            <v>40</v>
          </cell>
          <cell r="B46" t="str">
            <v>Aleix Farrero</v>
          </cell>
        </row>
        <row r="47">
          <cell r="A47">
            <v>41</v>
          </cell>
          <cell r="B47" t="str">
            <v>Ferran Tudela</v>
          </cell>
        </row>
        <row r="48">
          <cell r="A48">
            <v>42</v>
          </cell>
          <cell r="B48" t="str">
            <v>Arnau Vives</v>
          </cell>
        </row>
        <row r="49">
          <cell r="A49">
            <v>43</v>
          </cell>
          <cell r="B49" t="str">
            <v>Albert Duch</v>
          </cell>
        </row>
        <row r="50">
          <cell r="A50">
            <v>44</v>
          </cell>
          <cell r="B50" t="str">
            <v>Victor Cayuela</v>
          </cell>
        </row>
        <row r="51">
          <cell r="A51">
            <v>45</v>
          </cell>
          <cell r="B51" t="str">
            <v>Jordi Calvet</v>
          </cell>
        </row>
        <row r="52">
          <cell r="A52">
            <v>46</v>
          </cell>
          <cell r="B52" t="str">
            <v>Toni Sánchez</v>
          </cell>
        </row>
        <row r="53">
          <cell r="A53">
            <v>47</v>
          </cell>
          <cell r="B53" t="str">
            <v>Montse Polo</v>
          </cell>
        </row>
        <row r="54">
          <cell r="A54">
            <v>48</v>
          </cell>
          <cell r="B54" t="str">
            <v>Joel Roselló</v>
          </cell>
        </row>
        <row r="55">
          <cell r="A55">
            <v>49</v>
          </cell>
          <cell r="B55" t="str">
            <v>Jordi Rodriguez</v>
          </cell>
        </row>
        <row r="56">
          <cell r="A56">
            <v>50</v>
          </cell>
          <cell r="B56" t="str">
            <v>Ivan Fernández LL.</v>
          </cell>
        </row>
        <row r="57">
          <cell r="A57">
            <v>51</v>
          </cell>
          <cell r="B57" t="str">
            <v>Jordi Ros</v>
          </cell>
        </row>
        <row r="58">
          <cell r="A58">
            <v>52</v>
          </cell>
          <cell r="B58" t="str">
            <v>Victòria Sancho</v>
          </cell>
        </row>
        <row r="59">
          <cell r="A59">
            <v>53</v>
          </cell>
          <cell r="B59" t="str">
            <v>Pol Ribera</v>
          </cell>
        </row>
        <row r="60">
          <cell r="A60">
            <v>54</v>
          </cell>
          <cell r="B60" t="str">
            <v>Marc Sancho</v>
          </cell>
        </row>
        <row r="61">
          <cell r="A61">
            <v>55</v>
          </cell>
          <cell r="B61" t="str">
            <v>Gerard Bernadó</v>
          </cell>
        </row>
        <row r="62">
          <cell r="A62">
            <v>56</v>
          </cell>
          <cell r="B62" t="str">
            <v>Oriol Purroy</v>
          </cell>
        </row>
        <row r="63">
          <cell r="A63">
            <v>57</v>
          </cell>
          <cell r="B63" t="str">
            <v>Iker Tudo</v>
          </cell>
        </row>
        <row r="64">
          <cell r="A64">
            <v>58</v>
          </cell>
          <cell r="B64" t="str">
            <v>Carlos Canós</v>
          </cell>
        </row>
        <row r="65">
          <cell r="A65">
            <v>59</v>
          </cell>
          <cell r="B65" t="str">
            <v>Xavier Farré</v>
          </cell>
        </row>
        <row r="66">
          <cell r="A66">
            <v>60</v>
          </cell>
          <cell r="B66" t="str">
            <v>Josep M. Vallés</v>
          </cell>
        </row>
        <row r="67">
          <cell r="A67">
            <v>61</v>
          </cell>
          <cell r="B67" t="str">
            <v>Àngel Garcia</v>
          </cell>
        </row>
        <row r="68">
          <cell r="A68">
            <v>62</v>
          </cell>
          <cell r="B68" t="str">
            <v>Marius Pop</v>
          </cell>
        </row>
        <row r="69">
          <cell r="A69">
            <v>63</v>
          </cell>
          <cell r="B69" t="str">
            <v>Joan González</v>
          </cell>
        </row>
        <row r="70">
          <cell r="A70">
            <v>64</v>
          </cell>
          <cell r="B70" t="str">
            <v>Sebastian Lech</v>
          </cell>
        </row>
        <row r="71">
          <cell r="A71">
            <v>65</v>
          </cell>
          <cell r="B71" t="str">
            <v>Joel Parramon</v>
          </cell>
        </row>
        <row r="72">
          <cell r="A72">
            <v>66</v>
          </cell>
          <cell r="B72" t="str">
            <v>Joan Areny</v>
          </cell>
        </row>
        <row r="73">
          <cell r="A73">
            <v>67</v>
          </cell>
          <cell r="B73" t="str">
            <v>Gerard Buenache</v>
          </cell>
        </row>
        <row r="74">
          <cell r="A74">
            <v>68</v>
          </cell>
          <cell r="B74" t="str">
            <v>Andrés Rollan</v>
          </cell>
        </row>
        <row r="75">
          <cell r="A75">
            <v>69</v>
          </cell>
          <cell r="B75" t="str">
            <v>Vinyet Solans</v>
          </cell>
        </row>
        <row r="76">
          <cell r="A76">
            <v>70</v>
          </cell>
          <cell r="B76" t="str">
            <v>Josep Monforte</v>
          </cell>
        </row>
        <row r="77">
          <cell r="A77">
            <v>71</v>
          </cell>
          <cell r="B77" t="str">
            <v>Pau Palau</v>
          </cell>
        </row>
        <row r="78">
          <cell r="A78">
            <v>72</v>
          </cell>
          <cell r="B78" t="str">
            <v>Nil Mestres</v>
          </cell>
        </row>
        <row r="79">
          <cell r="A79">
            <v>73</v>
          </cell>
          <cell r="B79" t="str">
            <v>Josep Perelló</v>
          </cell>
        </row>
        <row r="80">
          <cell r="A80">
            <v>74</v>
          </cell>
          <cell r="B80" t="str">
            <v>Ricardo Boncompte</v>
          </cell>
        </row>
        <row r="81">
          <cell r="A81">
            <v>75</v>
          </cell>
          <cell r="B81" t="str">
            <v>Romeo Peirano</v>
          </cell>
        </row>
        <row r="82">
          <cell r="A82">
            <v>76</v>
          </cell>
          <cell r="B82" t="str">
            <v>Miquel  Salat</v>
          </cell>
        </row>
        <row r="83">
          <cell r="A83">
            <v>77</v>
          </cell>
          <cell r="B83" t="str">
            <v>Ricard Boncompte</v>
          </cell>
        </row>
        <row r="84">
          <cell r="A84">
            <v>78</v>
          </cell>
          <cell r="B84" t="str">
            <v>Ester Bravo</v>
          </cell>
        </row>
        <row r="85">
          <cell r="A85">
            <v>79</v>
          </cell>
          <cell r="B85" t="str">
            <v>Salvador Berenguer</v>
          </cell>
        </row>
        <row r="86">
          <cell r="A86">
            <v>80</v>
          </cell>
          <cell r="B86" t="str">
            <v>José Antonio Moreno</v>
          </cell>
        </row>
        <row r="87">
          <cell r="A87">
            <v>81</v>
          </cell>
          <cell r="B87" t="str">
            <v>Edgar Martin</v>
          </cell>
        </row>
        <row r="88">
          <cell r="A88">
            <v>82</v>
          </cell>
          <cell r="B88" t="str">
            <v>Albert Marquillas</v>
          </cell>
        </row>
        <row r="89">
          <cell r="A89">
            <v>83</v>
          </cell>
          <cell r="B89" t="str">
            <v>Joan Ramon Macià</v>
          </cell>
        </row>
        <row r="90">
          <cell r="A90">
            <v>84</v>
          </cell>
        </row>
        <row r="91">
          <cell r="A91">
            <v>85</v>
          </cell>
        </row>
        <row r="92">
          <cell r="A92">
            <v>86</v>
          </cell>
        </row>
        <row r="93">
          <cell r="A93">
            <v>87</v>
          </cell>
        </row>
        <row r="94">
          <cell r="A94">
            <v>88</v>
          </cell>
        </row>
        <row r="95">
          <cell r="A95">
            <v>89</v>
          </cell>
        </row>
        <row r="96">
          <cell r="A96">
            <v>90</v>
          </cell>
        </row>
        <row r="97">
          <cell r="A97">
            <v>91</v>
          </cell>
        </row>
        <row r="98">
          <cell r="A98">
            <v>92</v>
          </cell>
        </row>
        <row r="99">
          <cell r="A99">
            <v>93</v>
          </cell>
        </row>
        <row r="100">
          <cell r="A100">
            <v>94</v>
          </cell>
        </row>
        <row r="101">
          <cell r="A101">
            <v>95</v>
          </cell>
        </row>
        <row r="102">
          <cell r="A102">
            <v>96</v>
          </cell>
        </row>
        <row r="103">
          <cell r="A103">
            <v>97</v>
          </cell>
        </row>
        <row r="104">
          <cell r="A104">
            <v>98</v>
          </cell>
        </row>
        <row r="105">
          <cell r="A105">
            <v>99</v>
          </cell>
        </row>
        <row r="106">
          <cell r="A106">
            <v>100</v>
          </cell>
        </row>
        <row r="107">
          <cell r="A107">
            <v>101</v>
          </cell>
        </row>
        <row r="108">
          <cell r="A108">
            <v>102</v>
          </cell>
        </row>
        <row r="109">
          <cell r="A109">
            <v>103</v>
          </cell>
        </row>
        <row r="110">
          <cell r="A110">
            <v>104</v>
          </cell>
        </row>
        <row r="111">
          <cell r="A111">
            <v>105</v>
          </cell>
        </row>
        <row r="112">
          <cell r="A112">
            <v>106</v>
          </cell>
        </row>
        <row r="113">
          <cell r="A113">
            <v>107</v>
          </cell>
        </row>
        <row r="114">
          <cell r="A114">
            <v>108</v>
          </cell>
        </row>
        <row r="115">
          <cell r="A115">
            <v>109</v>
          </cell>
        </row>
        <row r="116">
          <cell r="A116">
            <v>110</v>
          </cell>
        </row>
        <row r="117">
          <cell r="A117">
            <v>111</v>
          </cell>
        </row>
        <row r="118">
          <cell r="A118">
            <v>112</v>
          </cell>
        </row>
        <row r="119">
          <cell r="A119">
            <v>113</v>
          </cell>
        </row>
        <row r="120">
          <cell r="A120">
            <v>114</v>
          </cell>
        </row>
        <row r="121">
          <cell r="A121">
            <v>115</v>
          </cell>
        </row>
        <row r="122">
          <cell r="A122">
            <v>116</v>
          </cell>
        </row>
        <row r="123">
          <cell r="A123">
            <v>117</v>
          </cell>
        </row>
        <row r="124">
          <cell r="A124">
            <v>118</v>
          </cell>
        </row>
        <row r="125">
          <cell r="A125">
            <v>119</v>
          </cell>
        </row>
        <row r="126">
          <cell r="A126">
            <v>120</v>
          </cell>
        </row>
        <row r="127">
          <cell r="A127">
            <v>121</v>
          </cell>
        </row>
        <row r="128">
          <cell r="A128">
            <v>122</v>
          </cell>
        </row>
        <row r="129">
          <cell r="A129">
            <v>123</v>
          </cell>
        </row>
        <row r="130">
          <cell r="A130">
            <v>124</v>
          </cell>
        </row>
        <row r="131">
          <cell r="A131">
            <v>125</v>
          </cell>
        </row>
        <row r="132">
          <cell r="A132">
            <v>126</v>
          </cell>
        </row>
        <row r="133">
          <cell r="A133">
            <v>127</v>
          </cell>
        </row>
        <row r="134">
          <cell r="A134">
            <v>128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PageLayoutView="0" workbookViewId="0" topLeftCell="A16">
      <selection activeCell="A1" sqref="A1:IV16384"/>
    </sheetView>
  </sheetViews>
  <sheetFormatPr defaultColWidth="11.421875" defaultRowHeight="12.75"/>
  <cols>
    <col min="1" max="16384" width="11.421875" style="127" customWidth="1"/>
  </cols>
  <sheetData>
    <row r="1" spans="2:16" ht="13.5" thickBot="1">
      <c r="B1" s="128" t="s">
        <v>19</v>
      </c>
      <c r="C1" s="128" t="s">
        <v>20</v>
      </c>
      <c r="D1" s="128" t="s">
        <v>21</v>
      </c>
      <c r="E1" s="128" t="s">
        <v>22</v>
      </c>
      <c r="F1" s="128" t="s">
        <v>23</v>
      </c>
      <c r="G1" s="128" t="s">
        <v>24</v>
      </c>
      <c r="H1" s="128" t="s">
        <v>25</v>
      </c>
      <c r="I1" s="128" t="s">
        <v>26</v>
      </c>
      <c r="J1" s="128" t="s">
        <v>27</v>
      </c>
      <c r="K1" s="128" t="s">
        <v>28</v>
      </c>
      <c r="L1" s="128" t="s">
        <v>29</v>
      </c>
      <c r="M1" s="128" t="s">
        <v>30</v>
      </c>
      <c r="N1" s="128" t="s">
        <v>31</v>
      </c>
      <c r="O1" s="129" t="s">
        <v>32</v>
      </c>
      <c r="P1" s="130"/>
    </row>
    <row r="2" spans="1:16" ht="12.75">
      <c r="A2" s="130" t="s">
        <v>121</v>
      </c>
      <c r="B2" s="131"/>
      <c r="C2" s="132"/>
      <c r="D2" s="132"/>
      <c r="E2" s="132"/>
      <c r="F2" s="132"/>
      <c r="G2" s="133"/>
      <c r="H2" s="134"/>
      <c r="I2" s="134"/>
      <c r="J2" s="134"/>
      <c r="K2" s="134"/>
      <c r="L2" s="135"/>
      <c r="M2" s="135"/>
      <c r="N2" s="135"/>
      <c r="O2" s="135"/>
      <c r="P2" s="136"/>
    </row>
    <row r="3" spans="1:16" ht="12.75">
      <c r="A3" s="130" t="s">
        <v>122</v>
      </c>
      <c r="B3" s="137" t="s">
        <v>123</v>
      </c>
      <c r="C3" s="138" t="s">
        <v>124</v>
      </c>
      <c r="D3" s="138" t="s">
        <v>125</v>
      </c>
      <c r="E3" s="138" t="s">
        <v>126</v>
      </c>
      <c r="F3" s="138" t="s">
        <v>127</v>
      </c>
      <c r="G3" s="139" t="s">
        <v>128</v>
      </c>
      <c r="H3" s="140" t="s">
        <v>129</v>
      </c>
      <c r="I3" s="140" t="s">
        <v>130</v>
      </c>
      <c r="J3" s="140" t="s">
        <v>131</v>
      </c>
      <c r="K3" s="140" t="s">
        <v>132</v>
      </c>
      <c r="L3" s="141" t="s">
        <v>133</v>
      </c>
      <c r="M3" s="141" t="s">
        <v>133</v>
      </c>
      <c r="N3" s="141" t="s">
        <v>133</v>
      </c>
      <c r="O3" s="141" t="s">
        <v>133</v>
      </c>
      <c r="P3" s="130"/>
    </row>
    <row r="4" spans="1:16" ht="13.5" thickBot="1">
      <c r="A4" s="130" t="s">
        <v>134</v>
      </c>
      <c r="B4" s="142"/>
      <c r="C4" s="143"/>
      <c r="D4" s="143"/>
      <c r="E4" s="143"/>
      <c r="F4" s="143"/>
      <c r="G4" s="144"/>
      <c r="H4" s="145"/>
      <c r="I4" s="145"/>
      <c r="J4" s="145"/>
      <c r="K4" s="145"/>
      <c r="L4" s="141"/>
      <c r="M4" s="141"/>
      <c r="N4" s="141"/>
      <c r="O4" s="141"/>
      <c r="P4" s="130"/>
    </row>
    <row r="5" spans="1:16" ht="12.75">
      <c r="A5" s="146" t="s">
        <v>135</v>
      </c>
      <c r="B5" s="147"/>
      <c r="C5" s="132"/>
      <c r="D5" s="132"/>
      <c r="E5" s="148"/>
      <c r="F5" s="149"/>
      <c r="G5" s="150"/>
      <c r="H5" s="151"/>
      <c r="I5" s="134"/>
      <c r="J5" s="134"/>
      <c r="K5" s="152"/>
      <c r="L5" s="153"/>
      <c r="M5" s="153"/>
      <c r="N5" s="153"/>
      <c r="O5" s="153"/>
      <c r="P5" s="130"/>
    </row>
    <row r="6" spans="1:16" ht="12.75">
      <c r="A6" s="146" t="s">
        <v>136</v>
      </c>
      <c r="B6" s="154"/>
      <c r="C6" s="138" t="s">
        <v>137</v>
      </c>
      <c r="D6" s="138" t="s">
        <v>125</v>
      </c>
      <c r="E6" s="155" t="s">
        <v>126</v>
      </c>
      <c r="F6" s="149" t="s">
        <v>127</v>
      </c>
      <c r="G6" s="156" t="s">
        <v>138</v>
      </c>
      <c r="H6" s="157"/>
      <c r="I6" s="140" t="s">
        <v>130</v>
      </c>
      <c r="J6" s="140" t="s">
        <v>131</v>
      </c>
      <c r="K6" s="158" t="s">
        <v>132</v>
      </c>
      <c r="L6" s="153" t="s">
        <v>133</v>
      </c>
      <c r="M6" s="153" t="s">
        <v>133</v>
      </c>
      <c r="N6" s="153" t="s">
        <v>133</v>
      </c>
      <c r="O6" s="153" t="s">
        <v>133</v>
      </c>
      <c r="P6" s="130"/>
    </row>
    <row r="7" spans="1:16" ht="13.5" thickBot="1">
      <c r="A7" s="130" t="s">
        <v>139</v>
      </c>
      <c r="B7" s="159"/>
      <c r="C7" s="143"/>
      <c r="D7" s="143"/>
      <c r="E7" s="160"/>
      <c r="F7" s="149"/>
      <c r="G7" s="161"/>
      <c r="H7" s="162"/>
      <c r="I7" s="145"/>
      <c r="J7" s="145"/>
      <c r="K7" s="163"/>
      <c r="L7" s="153"/>
      <c r="M7" s="153"/>
      <c r="N7" s="153"/>
      <c r="O7" s="153"/>
      <c r="P7" s="130"/>
    </row>
    <row r="8" spans="1:16" ht="12.75">
      <c r="A8" s="130" t="s">
        <v>140</v>
      </c>
      <c r="B8" s="164" t="s">
        <v>141</v>
      </c>
      <c r="C8" s="164" t="s">
        <v>141</v>
      </c>
      <c r="D8" s="164" t="s">
        <v>141</v>
      </c>
      <c r="E8" s="164" t="s">
        <v>141</v>
      </c>
      <c r="F8" s="165" t="s">
        <v>142</v>
      </c>
      <c r="G8" s="166"/>
      <c r="H8" s="167" t="s">
        <v>143</v>
      </c>
      <c r="I8" s="167" t="s">
        <v>143</v>
      </c>
      <c r="J8" s="167" t="s">
        <v>143</v>
      </c>
      <c r="K8" s="167" t="s">
        <v>143</v>
      </c>
      <c r="L8" s="153"/>
      <c r="M8" s="153"/>
      <c r="N8" s="153"/>
      <c r="O8" s="153"/>
      <c r="P8" s="130"/>
    </row>
    <row r="9" spans="1:16" ht="12.75">
      <c r="A9" s="130" t="s">
        <v>144</v>
      </c>
      <c r="B9" s="164" t="s">
        <v>145</v>
      </c>
      <c r="C9" s="164" t="s">
        <v>145</v>
      </c>
      <c r="D9" s="164" t="s">
        <v>145</v>
      </c>
      <c r="E9" s="164" t="s">
        <v>145</v>
      </c>
      <c r="F9" s="165" t="s">
        <v>142</v>
      </c>
      <c r="G9" s="168"/>
      <c r="H9" s="167" t="s">
        <v>146</v>
      </c>
      <c r="I9" s="167" t="s">
        <v>146</v>
      </c>
      <c r="J9" s="167" t="s">
        <v>146</v>
      </c>
      <c r="K9" s="167" t="s">
        <v>146</v>
      </c>
      <c r="L9" s="153" t="s">
        <v>133</v>
      </c>
      <c r="M9" s="153" t="s">
        <v>133</v>
      </c>
      <c r="N9" s="153" t="s">
        <v>133</v>
      </c>
      <c r="O9" s="153" t="s">
        <v>133</v>
      </c>
      <c r="P9" s="130"/>
    </row>
    <row r="10" spans="1:16" ht="12.75">
      <c r="A10" s="146" t="s">
        <v>147</v>
      </c>
      <c r="B10" s="164" t="s">
        <v>148</v>
      </c>
      <c r="C10" s="164" t="s">
        <v>148</v>
      </c>
      <c r="D10" s="169"/>
      <c r="E10" s="169"/>
      <c r="F10" s="165" t="s">
        <v>142</v>
      </c>
      <c r="G10" s="168"/>
      <c r="H10" s="169"/>
      <c r="I10" s="169"/>
      <c r="J10" s="167" t="s">
        <v>149</v>
      </c>
      <c r="K10" s="167" t="s">
        <v>149</v>
      </c>
      <c r="L10" s="153"/>
      <c r="M10" s="153"/>
      <c r="N10" s="153"/>
      <c r="O10" s="153"/>
      <c r="P10" s="130"/>
    </row>
    <row r="11" spans="1:16" ht="12.75">
      <c r="A11" s="130" t="s">
        <v>150</v>
      </c>
      <c r="B11" s="170" t="s">
        <v>151</v>
      </c>
      <c r="C11" s="171"/>
      <c r="D11" s="172"/>
      <c r="E11" s="172"/>
      <c r="F11" s="165" t="s">
        <v>142</v>
      </c>
      <c r="G11" s="168"/>
      <c r="H11" s="172"/>
      <c r="I11" s="172"/>
      <c r="J11" s="171"/>
      <c r="K11" s="167" t="s">
        <v>152</v>
      </c>
      <c r="L11" s="173"/>
      <c r="M11" s="173"/>
      <c r="N11" s="173"/>
      <c r="O11" s="173"/>
      <c r="P11" s="130"/>
    </row>
    <row r="12" spans="1:16" ht="12.75">
      <c r="A12" s="146" t="s">
        <v>153</v>
      </c>
      <c r="B12" s="168"/>
      <c r="C12" s="168"/>
      <c r="D12" s="168"/>
      <c r="E12" s="168"/>
      <c r="F12" s="165" t="s">
        <v>142</v>
      </c>
      <c r="G12" s="168"/>
      <c r="H12" s="168"/>
      <c r="I12" s="168"/>
      <c r="J12" s="168"/>
      <c r="K12" s="168"/>
      <c r="L12" s="173" t="s">
        <v>59</v>
      </c>
      <c r="M12" s="173" t="s">
        <v>59</v>
      </c>
      <c r="N12" s="173" t="s">
        <v>59</v>
      </c>
      <c r="O12" s="173" t="s">
        <v>59</v>
      </c>
      <c r="P12" s="130"/>
    </row>
    <row r="13" spans="1:16" ht="12.75">
      <c r="A13" s="130" t="s">
        <v>154</v>
      </c>
      <c r="B13" s="168"/>
      <c r="C13" s="168"/>
      <c r="D13" s="168"/>
      <c r="E13" s="168"/>
      <c r="F13" s="165" t="s">
        <v>142</v>
      </c>
      <c r="G13" s="168"/>
      <c r="H13" s="168"/>
      <c r="I13" s="168"/>
      <c r="J13" s="168"/>
      <c r="K13" s="168"/>
      <c r="L13" s="173"/>
      <c r="M13" s="173"/>
      <c r="N13" s="173"/>
      <c r="O13" s="173"/>
      <c r="P13" s="130"/>
    </row>
    <row r="14" spans="1:16" ht="12.75">
      <c r="A14" s="136" t="s">
        <v>155</v>
      </c>
      <c r="B14" s="165" t="s">
        <v>156</v>
      </c>
      <c r="C14" s="165" t="s">
        <v>157</v>
      </c>
      <c r="D14" s="165" t="s">
        <v>158</v>
      </c>
      <c r="E14" s="165" t="s">
        <v>159</v>
      </c>
      <c r="F14" s="165" t="s">
        <v>160</v>
      </c>
      <c r="G14" s="165" t="s">
        <v>161</v>
      </c>
      <c r="H14" s="165" t="s">
        <v>162</v>
      </c>
      <c r="I14" s="165" t="s">
        <v>163</v>
      </c>
      <c r="J14" s="165" t="s">
        <v>164</v>
      </c>
      <c r="K14" s="165" t="s">
        <v>165</v>
      </c>
      <c r="L14" s="173" t="s">
        <v>59</v>
      </c>
      <c r="M14" s="173" t="s">
        <v>59</v>
      </c>
      <c r="N14" s="173" t="s">
        <v>59</v>
      </c>
      <c r="O14" s="173" t="s">
        <v>59</v>
      </c>
      <c r="P14" s="130"/>
    </row>
    <row r="15" spans="1:16" ht="12.75">
      <c r="A15" s="130" t="s">
        <v>166</v>
      </c>
      <c r="B15" s="165" t="s">
        <v>156</v>
      </c>
      <c r="C15" s="165" t="s">
        <v>157</v>
      </c>
      <c r="D15" s="165" t="s">
        <v>158</v>
      </c>
      <c r="E15" s="165" t="s">
        <v>159</v>
      </c>
      <c r="F15" s="165" t="s">
        <v>160</v>
      </c>
      <c r="G15" s="165" t="s">
        <v>161</v>
      </c>
      <c r="H15" s="165" t="s">
        <v>162</v>
      </c>
      <c r="I15" s="165" t="s">
        <v>163</v>
      </c>
      <c r="J15" s="165" t="s">
        <v>164</v>
      </c>
      <c r="K15" s="165" t="s">
        <v>165</v>
      </c>
      <c r="L15" s="173"/>
      <c r="M15" s="173"/>
      <c r="N15" s="173"/>
      <c r="O15" s="173"/>
      <c r="P15" s="130"/>
    </row>
    <row r="16" spans="1:16" ht="12.75">
      <c r="A16" s="130" t="s">
        <v>167</v>
      </c>
      <c r="B16" s="165" t="s">
        <v>156</v>
      </c>
      <c r="C16" s="165" t="s">
        <v>157</v>
      </c>
      <c r="D16" s="165" t="s">
        <v>158</v>
      </c>
      <c r="E16" s="165" t="s">
        <v>159</v>
      </c>
      <c r="F16" s="165" t="s">
        <v>160</v>
      </c>
      <c r="G16" s="165" t="s">
        <v>161</v>
      </c>
      <c r="H16" s="165" t="s">
        <v>162</v>
      </c>
      <c r="I16" s="165" t="s">
        <v>163</v>
      </c>
      <c r="J16" s="165" t="s">
        <v>164</v>
      </c>
      <c r="K16" s="165" t="s">
        <v>165</v>
      </c>
      <c r="L16" s="173" t="s">
        <v>59</v>
      </c>
      <c r="M16" s="173" t="s">
        <v>59</v>
      </c>
      <c r="N16" s="173" t="s">
        <v>59</v>
      </c>
      <c r="O16" s="173" t="s">
        <v>59</v>
      </c>
      <c r="P16" s="130"/>
    </row>
    <row r="17" spans="1:16" ht="12.75">
      <c r="A17" s="130" t="s">
        <v>168</v>
      </c>
      <c r="B17" s="165" t="s">
        <v>156</v>
      </c>
      <c r="C17" s="165" t="s">
        <v>157</v>
      </c>
      <c r="D17" s="165" t="s">
        <v>158</v>
      </c>
      <c r="E17" s="165" t="s">
        <v>159</v>
      </c>
      <c r="F17" s="165" t="s">
        <v>160</v>
      </c>
      <c r="G17" s="165" t="s">
        <v>161</v>
      </c>
      <c r="H17" s="165" t="s">
        <v>162</v>
      </c>
      <c r="I17" s="165" t="s">
        <v>163</v>
      </c>
      <c r="J17" s="165" t="s">
        <v>164</v>
      </c>
      <c r="K17" s="165" t="s">
        <v>165</v>
      </c>
      <c r="L17" s="173"/>
      <c r="M17" s="173"/>
      <c r="N17" s="173"/>
      <c r="O17" s="173"/>
      <c r="P17" s="130"/>
    </row>
    <row r="18" spans="1:16" ht="12.75">
      <c r="A18" s="130" t="s">
        <v>169</v>
      </c>
      <c r="B18" s="165" t="s">
        <v>156</v>
      </c>
      <c r="C18" s="165" t="s">
        <v>157</v>
      </c>
      <c r="D18" s="165" t="s">
        <v>158</v>
      </c>
      <c r="E18" s="165" t="s">
        <v>159</v>
      </c>
      <c r="F18" s="165" t="s">
        <v>160</v>
      </c>
      <c r="G18" s="165" t="s">
        <v>161</v>
      </c>
      <c r="H18" s="165" t="s">
        <v>162</v>
      </c>
      <c r="I18" s="165" t="s">
        <v>163</v>
      </c>
      <c r="J18" s="165" t="s">
        <v>164</v>
      </c>
      <c r="K18" s="165" t="s">
        <v>165</v>
      </c>
      <c r="L18" s="173" t="s">
        <v>59</v>
      </c>
      <c r="M18" s="173" t="s">
        <v>59</v>
      </c>
      <c r="N18" s="173" t="s">
        <v>59</v>
      </c>
      <c r="O18" s="173" t="s">
        <v>59</v>
      </c>
      <c r="P18" s="130"/>
    </row>
    <row r="19" spans="1:16" ht="12.75">
      <c r="A19" s="130" t="s">
        <v>170</v>
      </c>
      <c r="B19" s="165" t="s">
        <v>156</v>
      </c>
      <c r="C19" s="165" t="s">
        <v>157</v>
      </c>
      <c r="D19" s="165" t="s">
        <v>158</v>
      </c>
      <c r="E19" s="165" t="s">
        <v>159</v>
      </c>
      <c r="F19" s="165" t="s">
        <v>160</v>
      </c>
      <c r="G19" s="165" t="s">
        <v>161</v>
      </c>
      <c r="H19" s="165" t="s">
        <v>162</v>
      </c>
      <c r="I19" s="165" t="s">
        <v>163</v>
      </c>
      <c r="J19" s="165" t="s">
        <v>164</v>
      </c>
      <c r="K19" s="165" t="s">
        <v>165</v>
      </c>
      <c r="L19" s="174"/>
      <c r="M19" s="174"/>
      <c r="N19" s="174"/>
      <c r="O19" s="174"/>
      <c r="P19" s="130"/>
    </row>
    <row r="20" spans="1:16" ht="12.75">
      <c r="A20" s="130" t="s">
        <v>171</v>
      </c>
      <c r="B20" s="175" t="s">
        <v>172</v>
      </c>
      <c r="C20" s="175" t="s">
        <v>173</v>
      </c>
      <c r="D20" s="175" t="s">
        <v>174</v>
      </c>
      <c r="E20" s="175" t="s">
        <v>175</v>
      </c>
      <c r="F20" s="175" t="s">
        <v>176</v>
      </c>
      <c r="G20" s="175" t="s">
        <v>177</v>
      </c>
      <c r="H20" s="175" t="s">
        <v>178</v>
      </c>
      <c r="I20" s="175" t="s">
        <v>179</v>
      </c>
      <c r="J20" s="175" t="s">
        <v>180</v>
      </c>
      <c r="K20" s="175" t="s">
        <v>181</v>
      </c>
      <c r="L20" s="175" t="s">
        <v>182</v>
      </c>
      <c r="M20" s="175" t="s">
        <v>183</v>
      </c>
      <c r="N20" s="175" t="s">
        <v>184</v>
      </c>
      <c r="O20" s="175" t="s">
        <v>185</v>
      </c>
      <c r="P20" s="130"/>
    </row>
    <row r="21" spans="1:16" ht="12.75">
      <c r="A21" s="130" t="s">
        <v>186</v>
      </c>
      <c r="B21" s="175" t="s">
        <v>172</v>
      </c>
      <c r="C21" s="175" t="s">
        <v>173</v>
      </c>
      <c r="D21" s="175" t="s">
        <v>174</v>
      </c>
      <c r="E21" s="175" t="s">
        <v>175</v>
      </c>
      <c r="F21" s="175" t="s">
        <v>176</v>
      </c>
      <c r="G21" s="175" t="s">
        <v>177</v>
      </c>
      <c r="H21" s="175" t="s">
        <v>178</v>
      </c>
      <c r="I21" s="175" t="s">
        <v>179</v>
      </c>
      <c r="J21" s="175" t="s">
        <v>180</v>
      </c>
      <c r="K21" s="175" t="s">
        <v>181</v>
      </c>
      <c r="L21" s="175" t="s">
        <v>182</v>
      </c>
      <c r="M21" s="175" t="s">
        <v>183</v>
      </c>
      <c r="N21" s="175" t="s">
        <v>184</v>
      </c>
      <c r="O21" s="175" t="s">
        <v>185</v>
      </c>
      <c r="P21" s="130"/>
    </row>
    <row r="22" spans="1:16" ht="12.75">
      <c r="A22" s="130" t="s">
        <v>187</v>
      </c>
      <c r="B22" s="175" t="s">
        <v>172</v>
      </c>
      <c r="C22" s="175" t="s">
        <v>173</v>
      </c>
      <c r="D22" s="175" t="s">
        <v>174</v>
      </c>
      <c r="E22" s="175" t="s">
        <v>175</v>
      </c>
      <c r="F22" s="175" t="s">
        <v>176</v>
      </c>
      <c r="G22" s="175" t="s">
        <v>177</v>
      </c>
      <c r="H22" s="175" t="s">
        <v>178</v>
      </c>
      <c r="I22" s="175" t="s">
        <v>179</v>
      </c>
      <c r="J22" s="175" t="s">
        <v>180</v>
      </c>
      <c r="K22" s="175" t="s">
        <v>181</v>
      </c>
      <c r="L22" s="175" t="s">
        <v>182</v>
      </c>
      <c r="M22" s="175" t="s">
        <v>183</v>
      </c>
      <c r="N22" s="175" t="s">
        <v>184</v>
      </c>
      <c r="O22" s="175" t="s">
        <v>185</v>
      </c>
      <c r="P22" s="130"/>
    </row>
    <row r="23" spans="1:16" ht="12.75">
      <c r="A23" s="130" t="s">
        <v>188</v>
      </c>
      <c r="B23" s="175" t="s">
        <v>172</v>
      </c>
      <c r="C23" s="175" t="s">
        <v>173</v>
      </c>
      <c r="D23" s="175" t="s">
        <v>174</v>
      </c>
      <c r="E23" s="175" t="s">
        <v>175</v>
      </c>
      <c r="F23" s="175" t="s">
        <v>176</v>
      </c>
      <c r="G23" s="175" t="s">
        <v>177</v>
      </c>
      <c r="H23" s="175" t="s">
        <v>178</v>
      </c>
      <c r="I23" s="175" t="s">
        <v>179</v>
      </c>
      <c r="J23" s="175" t="s">
        <v>180</v>
      </c>
      <c r="K23" s="175" t="s">
        <v>181</v>
      </c>
      <c r="L23" s="175" t="s">
        <v>182</v>
      </c>
      <c r="M23" s="175" t="s">
        <v>183</v>
      </c>
      <c r="N23" s="175" t="s">
        <v>184</v>
      </c>
      <c r="O23" s="175" t="s">
        <v>185</v>
      </c>
      <c r="P23" s="130"/>
    </row>
    <row r="24" spans="1:16" ht="12.75">
      <c r="A24" s="130" t="s">
        <v>189</v>
      </c>
      <c r="B24" s="175" t="s">
        <v>172</v>
      </c>
      <c r="C24" s="175" t="s">
        <v>173</v>
      </c>
      <c r="D24" s="175" t="s">
        <v>174</v>
      </c>
      <c r="E24" s="175" t="s">
        <v>175</v>
      </c>
      <c r="F24" s="175" t="s">
        <v>176</v>
      </c>
      <c r="G24" s="175" t="s">
        <v>177</v>
      </c>
      <c r="H24" s="175" t="s">
        <v>178</v>
      </c>
      <c r="I24" s="175" t="s">
        <v>179</v>
      </c>
      <c r="J24" s="175" t="s">
        <v>180</v>
      </c>
      <c r="K24" s="175" t="s">
        <v>181</v>
      </c>
      <c r="L24" s="175" t="s">
        <v>182</v>
      </c>
      <c r="M24" s="175" t="s">
        <v>183</v>
      </c>
      <c r="N24" s="175" t="s">
        <v>184</v>
      </c>
      <c r="O24" s="175" t="s">
        <v>185</v>
      </c>
      <c r="P24" s="130"/>
    </row>
    <row r="25" spans="1:16" ht="12.75">
      <c r="A25" s="130" t="s">
        <v>190</v>
      </c>
      <c r="B25" s="175" t="s">
        <v>172</v>
      </c>
      <c r="C25" s="175" t="s">
        <v>173</v>
      </c>
      <c r="D25" s="175" t="s">
        <v>174</v>
      </c>
      <c r="E25" s="175" t="s">
        <v>175</v>
      </c>
      <c r="F25" s="175" t="s">
        <v>176</v>
      </c>
      <c r="G25" s="175" t="s">
        <v>177</v>
      </c>
      <c r="H25" s="175" t="s">
        <v>178</v>
      </c>
      <c r="I25" s="175" t="s">
        <v>179</v>
      </c>
      <c r="J25" s="175" t="s">
        <v>180</v>
      </c>
      <c r="K25" s="175" t="s">
        <v>181</v>
      </c>
      <c r="L25" s="175" t="s">
        <v>182</v>
      </c>
      <c r="M25" s="175" t="s">
        <v>183</v>
      </c>
      <c r="N25" s="175" t="s">
        <v>184</v>
      </c>
      <c r="O25" s="175" t="s">
        <v>185</v>
      </c>
      <c r="P25" s="130"/>
    </row>
    <row r="26" spans="1:15" ht="12.75">
      <c r="A26" s="130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</row>
    <row r="27" spans="1:15" ht="12.75">
      <c r="A27" s="130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</row>
    <row r="28" spans="1:15" ht="12.75">
      <c r="A28" s="130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</row>
    <row r="30" ht="21">
      <c r="B30" s="176" t="s">
        <v>191</v>
      </c>
    </row>
    <row r="31" ht="12.75">
      <c r="A31" s="130"/>
    </row>
    <row r="32" spans="1:9" ht="12.75">
      <c r="A32" s="130" t="s">
        <v>192</v>
      </c>
      <c r="B32" s="177" t="s">
        <v>193</v>
      </c>
      <c r="C32" s="177" t="s">
        <v>193</v>
      </c>
      <c r="D32" s="178" t="s">
        <v>194</v>
      </c>
      <c r="E32" s="178" t="s">
        <v>194</v>
      </c>
      <c r="F32" s="178" t="s">
        <v>194</v>
      </c>
      <c r="G32" s="178" t="s">
        <v>194</v>
      </c>
      <c r="H32" s="178" t="s">
        <v>194</v>
      </c>
      <c r="I32" s="178" t="s">
        <v>194</v>
      </c>
    </row>
    <row r="33" spans="1:15" ht="12.75">
      <c r="A33" s="130" t="s">
        <v>195</v>
      </c>
      <c r="B33" s="178" t="s">
        <v>194</v>
      </c>
      <c r="C33" s="178" t="s">
        <v>194</v>
      </c>
      <c r="D33" s="178" t="s">
        <v>194</v>
      </c>
      <c r="E33" s="178" t="s">
        <v>194</v>
      </c>
      <c r="F33" s="178" t="s">
        <v>194</v>
      </c>
      <c r="G33" s="178" t="s">
        <v>194</v>
      </c>
      <c r="H33" s="178" t="s">
        <v>194</v>
      </c>
      <c r="I33" s="178" t="s">
        <v>194</v>
      </c>
      <c r="J33" s="178" t="s">
        <v>194</v>
      </c>
      <c r="K33" s="178" t="s">
        <v>194</v>
      </c>
      <c r="L33" s="179" t="s">
        <v>196</v>
      </c>
      <c r="M33" s="179" t="s">
        <v>196</v>
      </c>
      <c r="N33" s="179" t="s">
        <v>196</v>
      </c>
      <c r="O33" s="179" t="s">
        <v>196</v>
      </c>
    </row>
    <row r="34" spans="1:15" ht="12.75">
      <c r="A34" s="130" t="s">
        <v>197</v>
      </c>
      <c r="B34" s="179" t="s">
        <v>196</v>
      </c>
      <c r="C34" s="179" t="s">
        <v>196</v>
      </c>
      <c r="D34" s="179" t="s">
        <v>196</v>
      </c>
      <c r="E34" s="179" t="s">
        <v>196</v>
      </c>
      <c r="F34" s="179" t="s">
        <v>196</v>
      </c>
      <c r="G34" s="179" t="s">
        <v>196</v>
      </c>
      <c r="H34" s="179" t="s">
        <v>196</v>
      </c>
      <c r="I34" s="179" t="s">
        <v>196</v>
      </c>
      <c r="J34" s="179" t="s">
        <v>196</v>
      </c>
      <c r="K34" s="179" t="s">
        <v>196</v>
      </c>
      <c r="L34" s="179" t="s">
        <v>196</v>
      </c>
      <c r="M34" s="179" t="s">
        <v>196</v>
      </c>
      <c r="N34" s="180" t="s">
        <v>198</v>
      </c>
      <c r="O34" s="180" t="s">
        <v>198</v>
      </c>
    </row>
    <row r="35" spans="1:15" ht="12.75">
      <c r="A35" s="136" t="s">
        <v>199</v>
      </c>
      <c r="B35" s="180" t="s">
        <v>198</v>
      </c>
      <c r="C35" s="180" t="s">
        <v>198</v>
      </c>
      <c r="D35" s="180" t="s">
        <v>198</v>
      </c>
      <c r="E35" s="180" t="s">
        <v>198</v>
      </c>
      <c r="F35" s="180" t="s">
        <v>198</v>
      </c>
      <c r="G35" s="180" t="s">
        <v>198</v>
      </c>
      <c r="H35" s="180" t="s">
        <v>198</v>
      </c>
      <c r="I35" s="180" t="s">
        <v>198</v>
      </c>
      <c r="J35" s="180" t="s">
        <v>198</v>
      </c>
      <c r="K35" s="180" t="s">
        <v>198</v>
      </c>
      <c r="L35" s="180" t="s">
        <v>198</v>
      </c>
      <c r="M35" s="180" t="s">
        <v>198</v>
      </c>
      <c r="N35" s="180" t="s">
        <v>198</v>
      </c>
      <c r="O35" s="180" t="s">
        <v>198</v>
      </c>
    </row>
    <row r="36" spans="1:9" ht="12.75">
      <c r="A36" s="130" t="s">
        <v>200</v>
      </c>
      <c r="B36" s="181" t="s">
        <v>201</v>
      </c>
      <c r="C36" s="181" t="s">
        <v>201</v>
      </c>
      <c r="D36" s="181" t="s">
        <v>201</v>
      </c>
      <c r="E36" s="181" t="s">
        <v>201</v>
      </c>
      <c r="F36" s="181" t="s">
        <v>201</v>
      </c>
      <c r="G36" s="181" t="s">
        <v>201</v>
      </c>
      <c r="H36" s="181" t="s">
        <v>201</v>
      </c>
      <c r="I36" s="181" t="s">
        <v>201</v>
      </c>
    </row>
    <row r="37" spans="1:5" ht="12.75">
      <c r="A37" s="130" t="s">
        <v>202</v>
      </c>
      <c r="B37" s="182" t="s">
        <v>203</v>
      </c>
      <c r="C37" s="182" t="s">
        <v>203</v>
      </c>
      <c r="D37" s="182" t="s">
        <v>203</v>
      </c>
      <c r="E37" s="182" t="s">
        <v>203</v>
      </c>
    </row>
    <row r="38" spans="1:3" ht="12.75">
      <c r="A38" s="130" t="s">
        <v>204</v>
      </c>
      <c r="B38" s="183" t="s">
        <v>205</v>
      </c>
      <c r="C38" s="183" t="s">
        <v>205</v>
      </c>
    </row>
    <row r="39" spans="1:2" ht="12.75">
      <c r="A39" s="130" t="s">
        <v>206</v>
      </c>
      <c r="B39" s="174" t="s">
        <v>207</v>
      </c>
    </row>
    <row r="40" spans="1:2" ht="12.75">
      <c r="A40" s="130" t="s">
        <v>208</v>
      </c>
      <c r="B40" s="184"/>
    </row>
  </sheetData>
  <sheetProtection/>
  <printOptions/>
  <pageMargins left="0.3937007874015748" right="0.3937007874015748" top="0.3937007874015748" bottom="0.984251968503937" header="0.5118110236220472" footer="0.5118110236220472"/>
  <pageSetup fitToHeight="1" fitToWidth="1" horizontalDpi="360" verticalDpi="360" orientation="landscape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29"/>
  <sheetViews>
    <sheetView zoomScale="130" zoomScaleNormal="130" zoomScalePageLayoutView="0" workbookViewId="0" topLeftCell="A1">
      <selection activeCell="A1" sqref="A1:G27"/>
    </sheetView>
  </sheetViews>
  <sheetFormatPr defaultColWidth="11.421875" defaultRowHeight="16.5" customHeight="1"/>
  <cols>
    <col min="1" max="1" width="25.140625" style="120" customWidth="1"/>
    <col min="2" max="6" width="5.140625" style="120" customWidth="1"/>
    <col min="7" max="7" width="11.421875" style="116" customWidth="1"/>
    <col min="8" max="16384" width="11.421875" style="120" customWidth="1"/>
  </cols>
  <sheetData>
    <row r="1" ht="16.5" customHeight="1" thickBot="1"/>
    <row r="2" spans="1:7" ht="16.5" customHeight="1" thickBot="1">
      <c r="A2" s="274" t="s">
        <v>71</v>
      </c>
      <c r="B2" s="274"/>
      <c r="C2" s="274"/>
      <c r="E2" s="120" t="s">
        <v>14</v>
      </c>
      <c r="G2" s="117"/>
    </row>
    <row r="3" ht="16.5" customHeight="1" thickBot="1">
      <c r="G3" s="116" t="s">
        <v>65</v>
      </c>
    </row>
    <row r="4" spans="1:7" ht="16.5" customHeight="1">
      <c r="A4" s="120" t="str">
        <f>'Fase Final Absolut'!P12</f>
        <v>Jordi Latorre</v>
      </c>
      <c r="B4" s="121"/>
      <c r="C4" s="121"/>
      <c r="D4" s="121"/>
      <c r="E4" s="121"/>
      <c r="F4" s="122"/>
      <c r="G4" s="118"/>
    </row>
    <row r="5" spans="1:7" ht="16.5" customHeight="1" thickBot="1">
      <c r="A5" s="120" t="str">
        <f>'Fase Final Absolut'!P20</f>
        <v>Cristian  Fernandez</v>
      </c>
      <c r="B5" s="121"/>
      <c r="C5" s="121"/>
      <c r="D5" s="121"/>
      <c r="E5" s="121"/>
      <c r="F5" s="122"/>
      <c r="G5" s="119"/>
    </row>
    <row r="6" spans="1:7" ht="16.5" customHeight="1">
      <c r="A6" s="192" t="s">
        <v>265</v>
      </c>
      <c r="B6" s="272" t="str">
        <f>'Fase Final Absolut'!P16</f>
        <v>Victor Camí</v>
      </c>
      <c r="C6" s="273"/>
      <c r="D6" s="273"/>
      <c r="E6" s="273"/>
      <c r="F6" s="273"/>
      <c r="G6" s="188"/>
    </row>
    <row r="7" ht="7.5" customHeight="1"/>
    <row r="8" spans="1:8" ht="7.5" customHeight="1" thickBot="1">
      <c r="A8" s="124"/>
      <c r="B8" s="124"/>
      <c r="C8" s="124"/>
      <c r="D8" s="124"/>
      <c r="E8" s="124"/>
      <c r="F8" s="124"/>
      <c r="G8" s="125"/>
      <c r="H8" s="124"/>
    </row>
    <row r="9" spans="1:7" ht="16.5" customHeight="1" thickBot="1">
      <c r="A9" s="274" t="s">
        <v>71</v>
      </c>
      <c r="B9" s="274"/>
      <c r="C9" s="274"/>
      <c r="E9" s="120" t="s">
        <v>14</v>
      </c>
      <c r="G9" s="117"/>
    </row>
    <row r="10" ht="16.5" customHeight="1" thickBot="1">
      <c r="G10" s="116" t="s">
        <v>65</v>
      </c>
    </row>
    <row r="11" spans="1:7" ht="16.5" customHeight="1">
      <c r="A11" s="120" t="str">
        <f>'Fase Final Absolut'!P28</f>
        <v>Ferran Tudela</v>
      </c>
      <c r="B11" s="121"/>
      <c r="C11" s="121"/>
      <c r="D11" s="121"/>
      <c r="E11" s="121"/>
      <c r="F11" s="122"/>
      <c r="G11" s="118"/>
    </row>
    <row r="12" spans="1:7" ht="16.5" customHeight="1" thickBot="1">
      <c r="A12" s="120" t="str">
        <f>'Fase Final Absolut'!P36</f>
        <v>Oriol Mir</v>
      </c>
      <c r="B12" s="121"/>
      <c r="C12" s="121"/>
      <c r="D12" s="121"/>
      <c r="E12" s="121"/>
      <c r="F12" s="122"/>
      <c r="G12" s="119"/>
    </row>
    <row r="13" spans="1:7" ht="16.5" customHeight="1">
      <c r="A13" s="192" t="s">
        <v>265</v>
      </c>
      <c r="B13" s="272" t="str">
        <f>'Fase Final Absolut'!P32</f>
        <v>Albert Feliu</v>
      </c>
      <c r="C13" s="273"/>
      <c r="D13" s="273"/>
      <c r="E13" s="273"/>
      <c r="F13" s="273"/>
      <c r="G13" s="188"/>
    </row>
    <row r="14" ht="7.5" customHeight="1"/>
    <row r="15" spans="1:8" ht="7.5" customHeight="1" thickBot="1">
      <c r="A15" s="124"/>
      <c r="B15" s="124"/>
      <c r="C15" s="124"/>
      <c r="D15" s="124"/>
      <c r="E15" s="124"/>
      <c r="F15" s="124"/>
      <c r="G15" s="125"/>
      <c r="H15" s="124"/>
    </row>
    <row r="16" spans="1:7" ht="16.5" customHeight="1" thickBot="1">
      <c r="A16" s="274" t="s">
        <v>71</v>
      </c>
      <c r="B16" s="274"/>
      <c r="C16" s="274"/>
      <c r="E16" s="120" t="s">
        <v>14</v>
      </c>
      <c r="G16" s="117"/>
    </row>
    <row r="17" ht="16.5" customHeight="1" thickBot="1">
      <c r="G17" s="116" t="s">
        <v>65</v>
      </c>
    </row>
    <row r="18" spans="1:7" ht="16.5" customHeight="1">
      <c r="A18" s="120" t="str">
        <f>'Fase Final Absolut'!P44</f>
        <v>Ricard Gomez</v>
      </c>
      <c r="B18" s="121"/>
      <c r="C18" s="121"/>
      <c r="D18" s="121"/>
      <c r="E18" s="121"/>
      <c r="F18" s="122"/>
      <c r="G18" s="118"/>
    </row>
    <row r="19" spans="1:7" ht="16.5" customHeight="1" thickBot="1">
      <c r="A19" s="120" t="str">
        <f>'Fase Final Absolut'!P52</f>
        <v>Marc Sancho</v>
      </c>
      <c r="B19" s="121"/>
      <c r="C19" s="121"/>
      <c r="D19" s="121"/>
      <c r="E19" s="121"/>
      <c r="F19" s="122"/>
      <c r="G19" s="119"/>
    </row>
    <row r="20" spans="1:7" ht="16.5" customHeight="1">
      <c r="A20" s="192" t="s">
        <v>265</v>
      </c>
      <c r="B20" s="272" t="str">
        <f>'Fase Final Absolut'!P48</f>
        <v>Ivan Fernandez</v>
      </c>
      <c r="C20" s="273"/>
      <c r="D20" s="273"/>
      <c r="E20" s="273"/>
      <c r="F20" s="273"/>
      <c r="G20" s="188"/>
    </row>
    <row r="21" ht="7.5" customHeight="1"/>
    <row r="22" spans="1:8" ht="7.5" customHeight="1" thickBot="1">
      <c r="A22" s="124"/>
      <c r="B22" s="124"/>
      <c r="C22" s="124"/>
      <c r="D22" s="124"/>
      <c r="E22" s="124"/>
      <c r="F22" s="124"/>
      <c r="G22" s="125"/>
      <c r="H22" s="124"/>
    </row>
    <row r="23" spans="1:7" ht="16.5" customHeight="1" thickBot="1">
      <c r="A23" s="274" t="s">
        <v>71</v>
      </c>
      <c r="B23" s="274"/>
      <c r="C23" s="274"/>
      <c r="E23" s="120" t="s">
        <v>14</v>
      </c>
      <c r="G23" s="117"/>
    </row>
    <row r="24" ht="16.5" customHeight="1" thickBot="1">
      <c r="G24" s="116" t="s">
        <v>65</v>
      </c>
    </row>
    <row r="25" spans="1:7" ht="16.5" customHeight="1">
      <c r="A25" s="120" t="str">
        <f>'Fase Final Absolut'!P60</f>
        <v>Manel Martinez</v>
      </c>
      <c r="B25" s="121"/>
      <c r="C25" s="121"/>
      <c r="D25" s="121"/>
      <c r="E25" s="121"/>
      <c r="F25" s="122"/>
      <c r="G25" s="118"/>
    </row>
    <row r="26" spans="1:7" ht="16.5" customHeight="1" thickBot="1">
      <c r="A26" s="120" t="str">
        <f>'Fase Final Absolut'!P68</f>
        <v>David González</v>
      </c>
      <c r="B26" s="121"/>
      <c r="C26" s="121"/>
      <c r="D26" s="121"/>
      <c r="E26" s="121"/>
      <c r="F26" s="122"/>
      <c r="G26" s="119"/>
    </row>
    <row r="27" spans="1:7" ht="16.5" customHeight="1">
      <c r="A27" s="192" t="s">
        <v>265</v>
      </c>
      <c r="B27" s="272" t="str">
        <f>'Fase Final Absolut'!P64</f>
        <v>David Subirà</v>
      </c>
      <c r="C27" s="273"/>
      <c r="D27" s="273"/>
      <c r="E27" s="273"/>
      <c r="F27" s="273"/>
      <c r="G27" s="188"/>
    </row>
    <row r="28" ht="7.5" customHeight="1"/>
    <row r="29" spans="1:8" ht="7.5" customHeight="1">
      <c r="A29" s="124"/>
      <c r="B29" s="124"/>
      <c r="C29" s="124"/>
      <c r="D29" s="124"/>
      <c r="E29" s="124"/>
      <c r="F29" s="124"/>
      <c r="G29" s="125"/>
      <c r="H29" s="124"/>
    </row>
  </sheetData>
  <sheetProtection/>
  <mergeCells count="8">
    <mergeCell ref="B27:F27"/>
    <mergeCell ref="A2:C2"/>
    <mergeCell ref="A9:C9"/>
    <mergeCell ref="A16:C16"/>
    <mergeCell ref="A23:C23"/>
    <mergeCell ref="B6:F6"/>
    <mergeCell ref="B13:F13"/>
    <mergeCell ref="B20:F2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3"/>
  <sheetViews>
    <sheetView zoomScalePageLayoutView="0" workbookViewId="0" topLeftCell="A13">
      <selection activeCell="E27" sqref="E27"/>
    </sheetView>
  </sheetViews>
  <sheetFormatPr defaultColWidth="11.421875" defaultRowHeight="12.75"/>
  <cols>
    <col min="1" max="1" width="6.28125" style="0" customWidth="1"/>
    <col min="2" max="2" width="17.140625" style="0" customWidth="1"/>
    <col min="3" max="3" width="15.7109375" style="0" bestFit="1" customWidth="1"/>
    <col min="4" max="4" width="18.00390625" style="0" customWidth="1"/>
    <col min="5" max="5" width="19.00390625" style="0" customWidth="1"/>
    <col min="6" max="6" width="18.7109375" style="0" customWidth="1"/>
    <col min="7" max="7" width="13.57421875" style="0" customWidth="1"/>
  </cols>
  <sheetData>
    <row r="1" spans="1:7" ht="12.75">
      <c r="A1" s="18" t="s">
        <v>209</v>
      </c>
      <c r="D1" s="18" t="s">
        <v>210</v>
      </c>
      <c r="G1" s="18" t="s">
        <v>211</v>
      </c>
    </row>
    <row r="3" spans="1:2" ht="12.75">
      <c r="A3" s="19" t="s">
        <v>33</v>
      </c>
      <c r="B3" s="21">
        <v>41623</v>
      </c>
    </row>
    <row r="5" spans="2:7" ht="12.75">
      <c r="B5" s="8" t="s">
        <v>34</v>
      </c>
      <c r="C5" s="8"/>
      <c r="D5" s="8"/>
      <c r="E5" s="8"/>
      <c r="F5" s="8"/>
      <c r="G5" s="8"/>
    </row>
    <row r="7" spans="1:2" ht="12.75">
      <c r="A7" s="68">
        <v>1</v>
      </c>
      <c r="B7" t="s">
        <v>97</v>
      </c>
    </row>
    <row r="8" spans="1:2" ht="12.75">
      <c r="A8" s="68">
        <v>2</v>
      </c>
      <c r="B8" t="s">
        <v>76</v>
      </c>
    </row>
    <row r="9" spans="1:2" ht="12.75">
      <c r="A9" s="68">
        <v>3</v>
      </c>
      <c r="B9" t="s">
        <v>72</v>
      </c>
    </row>
    <row r="10" spans="1:2" ht="12.75">
      <c r="A10" s="68">
        <v>4</v>
      </c>
      <c r="B10" t="s">
        <v>212</v>
      </c>
    </row>
    <row r="11" spans="1:2" ht="12.75">
      <c r="A11" s="68">
        <v>5</v>
      </c>
      <c r="B11" t="s">
        <v>78</v>
      </c>
    </row>
    <row r="12" spans="1:2" ht="12.75">
      <c r="A12" s="68">
        <v>6</v>
      </c>
      <c r="B12" t="s">
        <v>213</v>
      </c>
    </row>
    <row r="13" spans="1:2" ht="12.75">
      <c r="A13" s="68">
        <v>7</v>
      </c>
      <c r="B13" t="s">
        <v>73</v>
      </c>
    </row>
    <row r="14" spans="1:2" ht="12.75">
      <c r="A14" s="68">
        <v>8</v>
      </c>
      <c r="B14" t="s">
        <v>214</v>
      </c>
    </row>
    <row r="15" spans="1:2" ht="12.75">
      <c r="A15" s="68">
        <v>9</v>
      </c>
      <c r="B15" t="s">
        <v>215</v>
      </c>
    </row>
    <row r="16" spans="1:2" ht="12.75">
      <c r="A16" s="68">
        <v>10</v>
      </c>
      <c r="B16" t="s">
        <v>216</v>
      </c>
    </row>
    <row r="17" spans="1:2" ht="12.75">
      <c r="A17" s="68">
        <v>11</v>
      </c>
      <c r="B17" t="s">
        <v>81</v>
      </c>
    </row>
    <row r="18" spans="1:2" ht="12.75">
      <c r="A18" s="68">
        <v>12</v>
      </c>
      <c r="B18" t="s">
        <v>88</v>
      </c>
    </row>
    <row r="19" spans="1:2" ht="12.75">
      <c r="A19" s="68">
        <v>13</v>
      </c>
      <c r="B19" t="s">
        <v>75</v>
      </c>
    </row>
    <row r="20" spans="1:2" ht="12.75">
      <c r="A20" s="68">
        <v>14</v>
      </c>
      <c r="B20" t="s">
        <v>77</v>
      </c>
    </row>
    <row r="21" spans="1:2" ht="12.75">
      <c r="A21" s="68">
        <v>15</v>
      </c>
      <c r="B21" t="s">
        <v>74</v>
      </c>
    </row>
    <row r="22" spans="1:2" ht="12.75">
      <c r="A22" s="68">
        <v>16</v>
      </c>
      <c r="B22" t="s">
        <v>217</v>
      </c>
    </row>
    <row r="23" spans="1:2" ht="12.75">
      <c r="A23" s="68">
        <v>17</v>
      </c>
      <c r="B23" t="s">
        <v>84</v>
      </c>
    </row>
    <row r="24" spans="1:2" ht="12.75">
      <c r="A24" s="68">
        <v>18</v>
      </c>
      <c r="B24" t="s">
        <v>79</v>
      </c>
    </row>
    <row r="25" spans="1:2" ht="12.75">
      <c r="A25" s="68">
        <v>19</v>
      </c>
      <c r="B25" t="s">
        <v>80</v>
      </c>
    </row>
    <row r="26" spans="1:2" ht="12.75">
      <c r="A26" s="68">
        <v>20</v>
      </c>
      <c r="B26" t="s">
        <v>218</v>
      </c>
    </row>
    <row r="27" spans="1:2" ht="12.75">
      <c r="A27" s="68">
        <v>21</v>
      </c>
      <c r="B27" t="s">
        <v>82</v>
      </c>
    </row>
    <row r="28" spans="1:2" ht="12.75">
      <c r="A28" s="68">
        <v>22</v>
      </c>
      <c r="B28" t="s">
        <v>87</v>
      </c>
    </row>
    <row r="29" spans="1:2" ht="12.75">
      <c r="A29" s="68">
        <v>23</v>
      </c>
      <c r="B29" t="s">
        <v>116</v>
      </c>
    </row>
    <row r="30" spans="1:2" ht="12.75">
      <c r="A30" s="68">
        <v>24</v>
      </c>
      <c r="B30" t="s">
        <v>89</v>
      </c>
    </row>
    <row r="31" spans="1:2" ht="12.75">
      <c r="A31" s="68">
        <v>25</v>
      </c>
      <c r="B31" s="115" t="s">
        <v>274</v>
      </c>
    </row>
    <row r="32" spans="1:2" ht="12.75">
      <c r="A32" s="68">
        <v>26</v>
      </c>
      <c r="B32" t="s">
        <v>102</v>
      </c>
    </row>
    <row r="33" spans="1:2" ht="12.75">
      <c r="A33" s="68">
        <v>27</v>
      </c>
      <c r="B33" t="s">
        <v>83</v>
      </c>
    </row>
    <row r="34" spans="1:2" ht="12.75">
      <c r="A34" s="68">
        <v>28</v>
      </c>
      <c r="B34" t="s">
        <v>219</v>
      </c>
    </row>
    <row r="35" spans="1:2" ht="12.75">
      <c r="A35" s="68">
        <v>29</v>
      </c>
      <c r="B35" t="s">
        <v>106</v>
      </c>
    </row>
    <row r="36" spans="1:2" ht="12.75">
      <c r="A36" s="68">
        <v>30</v>
      </c>
      <c r="B36" t="s">
        <v>220</v>
      </c>
    </row>
    <row r="37" spans="1:2" ht="12.75">
      <c r="A37" s="68">
        <v>31</v>
      </c>
      <c r="B37" t="s">
        <v>86</v>
      </c>
    </row>
    <row r="38" spans="1:2" ht="12.75">
      <c r="A38" s="68">
        <v>32</v>
      </c>
      <c r="B38" t="s">
        <v>94</v>
      </c>
    </row>
    <row r="39" spans="1:2" ht="12.75">
      <c r="A39" s="68">
        <v>33</v>
      </c>
      <c r="B39" t="s">
        <v>221</v>
      </c>
    </row>
    <row r="40" spans="1:2" ht="12.75">
      <c r="A40" s="68">
        <v>34</v>
      </c>
      <c r="B40" t="s">
        <v>222</v>
      </c>
    </row>
    <row r="41" spans="1:2" ht="12.75">
      <c r="A41" s="68">
        <v>35</v>
      </c>
      <c r="B41" t="s">
        <v>223</v>
      </c>
    </row>
    <row r="42" spans="1:2" ht="12.75">
      <c r="A42" s="68">
        <v>36</v>
      </c>
      <c r="B42" t="s">
        <v>85</v>
      </c>
    </row>
    <row r="43" spans="1:2" ht="12.75">
      <c r="A43" s="68">
        <v>37</v>
      </c>
      <c r="B43" t="s">
        <v>92</v>
      </c>
    </row>
    <row r="44" spans="1:2" ht="12.75">
      <c r="A44" s="68">
        <v>38</v>
      </c>
      <c r="B44" t="s">
        <v>93</v>
      </c>
    </row>
    <row r="45" spans="1:2" ht="12.75">
      <c r="A45" s="68">
        <v>39</v>
      </c>
      <c r="B45" t="s">
        <v>100</v>
      </c>
    </row>
    <row r="46" spans="1:2" ht="12.75">
      <c r="A46" s="68">
        <v>40</v>
      </c>
      <c r="B46" t="s">
        <v>99</v>
      </c>
    </row>
    <row r="47" spans="1:2" ht="12.75">
      <c r="A47" s="68">
        <v>41</v>
      </c>
      <c r="B47" t="s">
        <v>101</v>
      </c>
    </row>
    <row r="48" spans="1:2" ht="12.75">
      <c r="A48" s="68">
        <v>42</v>
      </c>
      <c r="B48" t="s">
        <v>105</v>
      </c>
    </row>
    <row r="49" spans="1:2" ht="12.75">
      <c r="A49" s="68">
        <v>43</v>
      </c>
      <c r="B49" t="s">
        <v>224</v>
      </c>
    </row>
    <row r="50" spans="1:2" ht="12.75">
      <c r="A50" s="68">
        <v>44</v>
      </c>
      <c r="B50" t="s">
        <v>225</v>
      </c>
    </row>
    <row r="51" spans="1:2" ht="12.75">
      <c r="A51" s="68">
        <v>45</v>
      </c>
      <c r="B51" t="s">
        <v>226</v>
      </c>
    </row>
    <row r="52" spans="1:2" ht="12.75">
      <c r="A52" s="68">
        <v>46</v>
      </c>
      <c r="B52" t="s">
        <v>111</v>
      </c>
    </row>
    <row r="53" spans="1:2" ht="12.75">
      <c r="A53" s="68">
        <v>47</v>
      </c>
      <c r="B53" t="s">
        <v>114</v>
      </c>
    </row>
    <row r="54" spans="1:2" ht="12.75">
      <c r="A54" s="68">
        <v>48</v>
      </c>
      <c r="B54" t="s">
        <v>109</v>
      </c>
    </row>
    <row r="55" spans="1:2" ht="12.75">
      <c r="A55" s="68">
        <v>49</v>
      </c>
      <c r="B55" t="s">
        <v>91</v>
      </c>
    </row>
    <row r="56" spans="1:2" ht="12.75">
      <c r="A56" s="68">
        <v>50</v>
      </c>
      <c r="B56" t="s">
        <v>112</v>
      </c>
    </row>
    <row r="57" spans="1:2" ht="12.75">
      <c r="A57" s="68">
        <v>51</v>
      </c>
      <c r="B57" t="s">
        <v>227</v>
      </c>
    </row>
    <row r="58" spans="1:2" ht="12.75">
      <c r="A58" s="68">
        <v>52</v>
      </c>
      <c r="B58" t="s">
        <v>115</v>
      </c>
    </row>
    <row r="59" spans="1:2" ht="12.75">
      <c r="A59" s="68">
        <v>53</v>
      </c>
      <c r="B59" t="s">
        <v>228</v>
      </c>
    </row>
    <row r="60" spans="1:2" ht="12.75">
      <c r="A60" s="68">
        <v>54</v>
      </c>
      <c r="B60" t="s">
        <v>118</v>
      </c>
    </row>
    <row r="61" spans="1:2" ht="12.75">
      <c r="A61" s="68">
        <v>55</v>
      </c>
      <c r="B61" t="s">
        <v>119</v>
      </c>
    </row>
    <row r="62" spans="1:2" ht="12.75">
      <c r="A62" s="68">
        <v>56</v>
      </c>
      <c r="B62" t="s">
        <v>95</v>
      </c>
    </row>
    <row r="63" spans="1:2" ht="12.75">
      <c r="A63" s="68">
        <v>57</v>
      </c>
      <c r="B63" t="s">
        <v>98</v>
      </c>
    </row>
    <row r="64" spans="1:2" ht="12.75">
      <c r="A64" s="68">
        <v>58</v>
      </c>
      <c r="B64" t="s">
        <v>90</v>
      </c>
    </row>
    <row r="65" spans="1:2" ht="12.75">
      <c r="A65" s="68">
        <v>59</v>
      </c>
      <c r="B65" t="s">
        <v>96</v>
      </c>
    </row>
    <row r="66" spans="1:2" ht="12.75">
      <c r="A66" s="68">
        <v>60</v>
      </c>
      <c r="B66" t="s">
        <v>229</v>
      </c>
    </row>
    <row r="67" spans="1:2" ht="12.75">
      <c r="A67" s="68">
        <v>61</v>
      </c>
      <c r="B67" t="s">
        <v>103</v>
      </c>
    </row>
    <row r="68" spans="1:2" ht="12.75">
      <c r="A68" s="68">
        <v>62</v>
      </c>
      <c r="B68" t="s">
        <v>230</v>
      </c>
    </row>
    <row r="69" spans="1:2" ht="12.75">
      <c r="A69" s="68">
        <v>63</v>
      </c>
      <c r="B69" t="s">
        <v>231</v>
      </c>
    </row>
    <row r="70" spans="1:2" ht="12.75">
      <c r="A70" s="68">
        <v>64</v>
      </c>
      <c r="B70" t="s">
        <v>104</v>
      </c>
    </row>
    <row r="71" spans="1:2" ht="12.75">
      <c r="A71" s="68">
        <v>65</v>
      </c>
      <c r="B71" t="s">
        <v>108</v>
      </c>
    </row>
    <row r="72" spans="1:2" ht="12.75">
      <c r="A72" s="68">
        <v>66</v>
      </c>
      <c r="B72" t="s">
        <v>232</v>
      </c>
    </row>
    <row r="73" spans="1:2" ht="12.75">
      <c r="A73" s="68">
        <v>67</v>
      </c>
      <c r="B73" t="s">
        <v>233</v>
      </c>
    </row>
    <row r="74" spans="1:2" ht="12.75">
      <c r="A74" s="68">
        <v>68</v>
      </c>
      <c r="B74" t="s">
        <v>107</v>
      </c>
    </row>
    <row r="75" spans="1:2" ht="12.75">
      <c r="A75" s="68">
        <v>69</v>
      </c>
      <c r="B75" t="s">
        <v>110</v>
      </c>
    </row>
    <row r="76" spans="1:2" ht="12.75">
      <c r="A76" s="68">
        <v>70</v>
      </c>
      <c r="B76" t="s">
        <v>113</v>
      </c>
    </row>
    <row r="77" spans="1:2" ht="12.75">
      <c r="A77" s="68">
        <v>71</v>
      </c>
      <c r="B77" t="s">
        <v>234</v>
      </c>
    </row>
    <row r="78" spans="1:2" ht="12.75">
      <c r="A78" s="68">
        <v>72</v>
      </c>
      <c r="B78" t="s">
        <v>235</v>
      </c>
    </row>
    <row r="79" spans="1:2" ht="12.75">
      <c r="A79" s="68">
        <v>73</v>
      </c>
      <c r="B79" t="s">
        <v>117</v>
      </c>
    </row>
    <row r="80" spans="1:2" ht="12.75">
      <c r="A80" s="68">
        <v>74</v>
      </c>
      <c r="B80" t="s">
        <v>120</v>
      </c>
    </row>
    <row r="81" spans="1:2" ht="12.75">
      <c r="A81" s="68">
        <v>75</v>
      </c>
      <c r="B81" t="s">
        <v>236</v>
      </c>
    </row>
    <row r="82" spans="1:2" ht="12.75">
      <c r="A82" s="68">
        <v>76</v>
      </c>
      <c r="B82" t="s">
        <v>237</v>
      </c>
    </row>
    <row r="83" spans="1:2" ht="12.75">
      <c r="A83" s="68">
        <v>77</v>
      </c>
      <c r="B83" t="s">
        <v>238</v>
      </c>
    </row>
    <row r="84" spans="1:2" ht="12.75">
      <c r="A84" s="68">
        <v>78</v>
      </c>
      <c r="B84" s="115" t="s">
        <v>261</v>
      </c>
    </row>
    <row r="85" spans="1:2" ht="12.75">
      <c r="A85" s="68">
        <v>79</v>
      </c>
      <c r="B85" t="s">
        <v>239</v>
      </c>
    </row>
    <row r="86" spans="1:2" ht="12.75">
      <c r="A86" s="68">
        <v>80</v>
      </c>
      <c r="B86" t="s">
        <v>240</v>
      </c>
    </row>
    <row r="87" spans="1:2" ht="12.75">
      <c r="A87" s="68">
        <v>81</v>
      </c>
      <c r="B87" t="s">
        <v>241</v>
      </c>
    </row>
    <row r="88" spans="1:2" ht="12.75">
      <c r="A88" s="68">
        <v>82</v>
      </c>
      <c r="B88" t="s">
        <v>242</v>
      </c>
    </row>
    <row r="89" spans="1:2" ht="12.75">
      <c r="A89" s="68">
        <v>83</v>
      </c>
      <c r="B89" t="s">
        <v>243</v>
      </c>
    </row>
    <row r="90" spans="1:2" ht="12.75">
      <c r="A90" s="68">
        <v>84</v>
      </c>
      <c r="B90" t="s">
        <v>244</v>
      </c>
    </row>
    <row r="91" spans="1:2" ht="12.75">
      <c r="A91" s="68">
        <v>85</v>
      </c>
      <c r="B91" t="s">
        <v>245</v>
      </c>
    </row>
    <row r="92" spans="1:2" ht="12.75">
      <c r="A92" s="68">
        <v>86</v>
      </c>
      <c r="B92" t="s">
        <v>246</v>
      </c>
    </row>
    <row r="93" spans="1:2" ht="12.75">
      <c r="A93" s="68">
        <v>87</v>
      </c>
      <c r="B93" s="115" t="s">
        <v>260</v>
      </c>
    </row>
    <row r="94" spans="1:2" ht="12.75">
      <c r="A94" s="68">
        <v>88</v>
      </c>
      <c r="B94" s="115" t="s">
        <v>258</v>
      </c>
    </row>
    <row r="95" spans="1:2" ht="12.75">
      <c r="A95" s="68">
        <v>89</v>
      </c>
      <c r="B95" t="s">
        <v>247</v>
      </c>
    </row>
    <row r="96" spans="1:2" ht="12.75">
      <c r="A96" s="68">
        <v>90</v>
      </c>
      <c r="B96" t="s">
        <v>248</v>
      </c>
    </row>
    <row r="97" spans="1:2" ht="12.75">
      <c r="A97" s="68">
        <v>91</v>
      </c>
      <c r="B97" t="s">
        <v>249</v>
      </c>
    </row>
    <row r="98" spans="1:2" ht="12.75">
      <c r="A98" s="68">
        <v>92</v>
      </c>
      <c r="B98" t="s">
        <v>250</v>
      </c>
    </row>
    <row r="99" spans="1:2" ht="12.75">
      <c r="A99" s="68">
        <v>93</v>
      </c>
      <c r="B99" t="s">
        <v>251</v>
      </c>
    </row>
    <row r="100" spans="1:2" ht="12.75">
      <c r="A100" s="68">
        <v>94</v>
      </c>
      <c r="B100" t="s">
        <v>252</v>
      </c>
    </row>
    <row r="101" spans="1:2" ht="12.75">
      <c r="A101" s="68">
        <v>95</v>
      </c>
      <c r="B101" s="115" t="s">
        <v>259</v>
      </c>
    </row>
    <row r="102" spans="1:2" ht="12.75">
      <c r="A102" s="68">
        <v>96</v>
      </c>
      <c r="B102" t="s">
        <v>253</v>
      </c>
    </row>
    <row r="103" spans="1:2" ht="12.75">
      <c r="A103" s="68">
        <v>97</v>
      </c>
      <c r="B103" t="s">
        <v>254</v>
      </c>
    </row>
    <row r="104" spans="1:2" ht="12.75">
      <c r="A104" s="68">
        <v>98</v>
      </c>
      <c r="B104" t="s">
        <v>255</v>
      </c>
    </row>
    <row r="105" spans="1:2" ht="12.75">
      <c r="A105" s="68">
        <v>99</v>
      </c>
      <c r="B105" t="s">
        <v>256</v>
      </c>
    </row>
    <row r="106" spans="1:2" ht="12.75">
      <c r="A106" s="68">
        <v>100</v>
      </c>
      <c r="B106" s="115" t="s">
        <v>257</v>
      </c>
    </row>
    <row r="107" ht="12.75">
      <c r="A107" s="68">
        <v>101</v>
      </c>
    </row>
    <row r="108" ht="12.75">
      <c r="A108" s="68">
        <v>102</v>
      </c>
    </row>
    <row r="109" ht="12.75">
      <c r="A109" s="68">
        <v>103</v>
      </c>
    </row>
    <row r="110" ht="12.75">
      <c r="A110" s="68">
        <v>104</v>
      </c>
    </row>
    <row r="111" ht="12.75">
      <c r="A111" s="68">
        <v>105</v>
      </c>
    </row>
    <row r="112" ht="12.75">
      <c r="A112" s="68">
        <v>106</v>
      </c>
    </row>
    <row r="113" ht="12.75">
      <c r="A113" s="68">
        <v>107</v>
      </c>
    </row>
    <row r="114" ht="12.75">
      <c r="A114" s="68">
        <v>108</v>
      </c>
    </row>
    <row r="115" ht="12.75">
      <c r="A115" s="68">
        <v>109</v>
      </c>
    </row>
    <row r="116" ht="12.75">
      <c r="A116" s="68">
        <v>110</v>
      </c>
    </row>
    <row r="117" ht="12.75">
      <c r="A117" s="68">
        <v>111</v>
      </c>
    </row>
    <row r="118" ht="12.75">
      <c r="A118" s="68">
        <v>112</v>
      </c>
    </row>
    <row r="119" ht="12.75">
      <c r="A119" s="68">
        <v>113</v>
      </c>
    </row>
    <row r="120" ht="12.75">
      <c r="A120" s="68">
        <v>114</v>
      </c>
    </row>
    <row r="121" ht="12.75">
      <c r="A121" s="68">
        <v>115</v>
      </c>
    </row>
    <row r="122" ht="12.75">
      <c r="A122" s="68">
        <v>116</v>
      </c>
    </row>
    <row r="123" ht="12.75">
      <c r="A123" s="68">
        <v>117</v>
      </c>
    </row>
    <row r="124" ht="12.75">
      <c r="A124" s="68">
        <v>118</v>
      </c>
    </row>
    <row r="125" ht="12.75">
      <c r="A125" s="68">
        <v>119</v>
      </c>
    </row>
    <row r="126" ht="12.75">
      <c r="A126" s="68">
        <v>120</v>
      </c>
    </row>
    <row r="127" ht="12.75">
      <c r="A127" s="68">
        <v>121</v>
      </c>
    </row>
    <row r="128" ht="12.75">
      <c r="A128" s="68">
        <v>122</v>
      </c>
    </row>
    <row r="129" ht="12.75">
      <c r="A129" s="68">
        <v>123</v>
      </c>
    </row>
    <row r="130" ht="12.75">
      <c r="A130" s="68">
        <v>124</v>
      </c>
    </row>
    <row r="131" ht="12.75">
      <c r="A131" s="68">
        <v>125</v>
      </c>
    </row>
    <row r="132" ht="12.75">
      <c r="A132" s="68">
        <v>126</v>
      </c>
    </row>
    <row r="133" ht="12.75">
      <c r="A133" s="68">
        <v>127</v>
      </c>
    </row>
    <row r="134" ht="12.75">
      <c r="A134" s="68">
        <v>128</v>
      </c>
    </row>
    <row r="135" ht="12.75">
      <c r="A135" s="85"/>
    </row>
    <row r="136" ht="12.75">
      <c r="A136" s="79"/>
    </row>
    <row r="137" ht="12.75">
      <c r="A137" s="79"/>
    </row>
    <row r="138" ht="12.75">
      <c r="A138" s="20"/>
    </row>
    <row r="139" ht="12.75">
      <c r="A139" s="20"/>
    </row>
    <row r="140" ht="12.75">
      <c r="A140" s="20"/>
    </row>
    <row r="141" ht="12.75">
      <c r="A141" s="20"/>
    </row>
    <row r="142" ht="12.75">
      <c r="A142" s="20"/>
    </row>
    <row r="143" ht="12.75">
      <c r="A143" s="20"/>
    </row>
    <row r="144" ht="12.75">
      <c r="A144" s="20"/>
    </row>
    <row r="145" ht="12.75">
      <c r="A145" s="20"/>
    </row>
    <row r="146" ht="12.75">
      <c r="A146" s="20"/>
    </row>
    <row r="147" ht="12.75">
      <c r="A147" s="20"/>
    </row>
    <row r="148" ht="12.75">
      <c r="A148" s="20"/>
    </row>
    <row r="149" ht="12.75">
      <c r="A149" s="20"/>
    </row>
    <row r="150" ht="12.75">
      <c r="A150" s="20"/>
    </row>
    <row r="151" ht="12.75">
      <c r="A151" s="20"/>
    </row>
    <row r="152" ht="12.75">
      <c r="A152" s="20"/>
    </row>
    <row r="153" ht="12.75">
      <c r="A153" s="20"/>
    </row>
    <row r="154" ht="12.75">
      <c r="A154" s="20"/>
    </row>
    <row r="155" ht="12.75">
      <c r="A155" s="20"/>
    </row>
    <row r="156" ht="12.75">
      <c r="A156" s="20"/>
    </row>
    <row r="157" ht="12.75">
      <c r="A157" s="20"/>
    </row>
    <row r="158" ht="12.75">
      <c r="A158" s="20"/>
    </row>
    <row r="159" ht="12.75">
      <c r="A159" s="20"/>
    </row>
    <row r="160" ht="12.75">
      <c r="A160" s="20"/>
    </row>
    <row r="161" ht="12.75">
      <c r="A161" s="20"/>
    </row>
    <row r="162" ht="12.75">
      <c r="A162" s="20"/>
    </row>
    <row r="163" ht="12.75">
      <c r="A163" s="20"/>
    </row>
    <row r="164" ht="12.75">
      <c r="A164" s="20"/>
    </row>
    <row r="165" ht="12.75">
      <c r="A165" s="20"/>
    </row>
    <row r="166" ht="12.75">
      <c r="A166" s="20"/>
    </row>
    <row r="167" ht="12.75">
      <c r="A167" s="20"/>
    </row>
    <row r="168" ht="12.75">
      <c r="A168" s="20"/>
    </row>
    <row r="169" ht="12.75">
      <c r="A169" s="20"/>
    </row>
    <row r="170" ht="12.75">
      <c r="A170" s="20"/>
    </row>
    <row r="171" ht="12.75">
      <c r="A171" s="20"/>
    </row>
    <row r="172" ht="12.75">
      <c r="A172" s="20"/>
    </row>
    <row r="173" ht="12.75">
      <c r="A173" s="20"/>
    </row>
    <row r="174" ht="12.75">
      <c r="A174" s="20"/>
    </row>
    <row r="175" ht="12.75">
      <c r="A175" s="20"/>
    </row>
    <row r="176" ht="12.75">
      <c r="A176" s="20"/>
    </row>
    <row r="177" ht="12.75">
      <c r="A177" s="20"/>
    </row>
    <row r="178" ht="12.75">
      <c r="A178" s="20"/>
    </row>
    <row r="179" ht="12.75">
      <c r="A179" s="20"/>
    </row>
    <row r="180" ht="12.75">
      <c r="A180" s="20"/>
    </row>
    <row r="181" ht="12.75">
      <c r="A181" s="20"/>
    </row>
    <row r="182" ht="12.75">
      <c r="A182" s="20"/>
    </row>
    <row r="183" ht="12.75">
      <c r="A183" s="20"/>
    </row>
    <row r="184" ht="12.75">
      <c r="A184" s="20"/>
    </row>
    <row r="185" ht="12.75">
      <c r="A185" s="20"/>
    </row>
    <row r="186" ht="12.75">
      <c r="A186" s="20"/>
    </row>
    <row r="187" ht="12.75">
      <c r="A187" s="20"/>
    </row>
    <row r="188" ht="12.75">
      <c r="A188" s="20"/>
    </row>
    <row r="189" ht="12.75">
      <c r="A189" s="20"/>
    </row>
    <row r="190" ht="12.75">
      <c r="A190" s="20"/>
    </row>
    <row r="191" ht="12.75">
      <c r="A191" s="20"/>
    </row>
    <row r="192" ht="12.75">
      <c r="A192" s="20"/>
    </row>
    <row r="193" ht="12.75">
      <c r="A193" s="20"/>
    </row>
    <row r="194" ht="12.75">
      <c r="A194" s="20"/>
    </row>
    <row r="195" ht="12.75">
      <c r="A195" s="20"/>
    </row>
    <row r="196" ht="12.75">
      <c r="A196" s="20"/>
    </row>
    <row r="197" ht="12.75">
      <c r="A197" s="20"/>
    </row>
    <row r="198" ht="12.75">
      <c r="A198" s="20"/>
    </row>
    <row r="199" ht="12.75">
      <c r="A199" s="20"/>
    </row>
    <row r="200" ht="12.75">
      <c r="A200" s="20"/>
    </row>
    <row r="201" ht="12.75">
      <c r="A201" s="20"/>
    </row>
    <row r="202" ht="12.75">
      <c r="A202" s="20"/>
    </row>
    <row r="203" ht="12.75">
      <c r="A203" s="20"/>
    </row>
    <row r="204" ht="12.75">
      <c r="A204" s="20"/>
    </row>
    <row r="205" ht="12.75">
      <c r="A205" s="20"/>
    </row>
    <row r="206" ht="12.75">
      <c r="A206" s="20"/>
    </row>
    <row r="207" ht="12.75">
      <c r="A207" s="20"/>
    </row>
    <row r="208" ht="12.75">
      <c r="A208" s="20"/>
    </row>
    <row r="209" ht="12.75">
      <c r="A209" s="20"/>
    </row>
    <row r="210" ht="12.75">
      <c r="A210" s="20"/>
    </row>
    <row r="211" ht="12.75">
      <c r="A211" s="20"/>
    </row>
    <row r="212" ht="12.75">
      <c r="A212" s="20"/>
    </row>
    <row r="213" ht="12.75">
      <c r="A213" s="20"/>
    </row>
    <row r="214" ht="12.75">
      <c r="A214" s="20"/>
    </row>
    <row r="215" ht="12.75">
      <c r="A215" s="20"/>
    </row>
    <row r="216" ht="12.75">
      <c r="A216" s="20"/>
    </row>
    <row r="217" ht="12.75">
      <c r="A217" s="20"/>
    </row>
    <row r="218" ht="12.75">
      <c r="A218" s="20"/>
    </row>
    <row r="219" ht="12.75">
      <c r="A219" s="20"/>
    </row>
    <row r="220" ht="12.75">
      <c r="A220" s="20"/>
    </row>
    <row r="221" ht="12.75">
      <c r="A221" s="20"/>
    </row>
    <row r="222" ht="12.75">
      <c r="A222" s="20"/>
    </row>
    <row r="223" ht="12.75">
      <c r="A223" s="20"/>
    </row>
    <row r="224" ht="12.75">
      <c r="A224" s="20"/>
    </row>
    <row r="225" ht="12.75">
      <c r="A225" s="20"/>
    </row>
    <row r="226" ht="12.75">
      <c r="A226" s="20"/>
    </row>
    <row r="227" ht="12.75">
      <c r="A227" s="20"/>
    </row>
    <row r="228" ht="12.75">
      <c r="A228" s="20"/>
    </row>
    <row r="229" ht="12.75">
      <c r="A229" s="20"/>
    </row>
    <row r="230" ht="12.75">
      <c r="A230" s="20"/>
    </row>
    <row r="231" ht="12.75">
      <c r="A231" s="20"/>
    </row>
    <row r="232" ht="12.75">
      <c r="A232" s="20"/>
    </row>
    <row r="233" ht="12.75">
      <c r="A233" s="2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59"/>
  <sheetViews>
    <sheetView workbookViewId="0" topLeftCell="A47">
      <selection activeCell="AE63" sqref="AE63"/>
    </sheetView>
  </sheetViews>
  <sheetFormatPr defaultColWidth="11.421875" defaultRowHeight="12.75"/>
  <cols>
    <col min="1" max="1" width="9.28125" style="66" bestFit="1" customWidth="1"/>
    <col min="2" max="2" width="6.28125" style="66" customWidth="1"/>
    <col min="3" max="3" width="7.140625" style="66" bestFit="1" customWidth="1"/>
    <col min="4" max="4" width="3.8515625" style="66" bestFit="1" customWidth="1"/>
    <col min="5" max="5" width="2.00390625" style="66" customWidth="1"/>
    <col min="6" max="6" width="3.8515625" style="66" bestFit="1" customWidth="1"/>
    <col min="7" max="7" width="1.7109375" style="66" customWidth="1"/>
    <col min="8" max="8" width="5.421875" style="66" bestFit="1" customWidth="1"/>
    <col min="9" max="9" width="2.57421875" style="66" customWidth="1"/>
    <col min="10" max="11" width="5.421875" style="66" bestFit="1" customWidth="1"/>
    <col min="12" max="12" width="2.57421875" style="66" customWidth="1"/>
    <col min="13" max="14" width="5.421875" style="66" bestFit="1" customWidth="1"/>
    <col min="15" max="15" width="2.57421875" style="66" customWidth="1"/>
    <col min="16" max="17" width="5.421875" style="66" bestFit="1" customWidth="1"/>
    <col min="18" max="18" width="2.57421875" style="66" customWidth="1"/>
    <col min="19" max="19" width="5.421875" style="66" bestFit="1" customWidth="1"/>
    <col min="20" max="20" width="5.00390625" style="66" bestFit="1" customWidth="1"/>
    <col min="21" max="21" width="2.57421875" style="66" customWidth="1"/>
    <col min="22" max="22" width="5.421875" style="66" bestFit="1" customWidth="1"/>
    <col min="23" max="23" width="2.00390625" style="66" customWidth="1"/>
    <col min="24" max="24" width="3.00390625" style="66" customWidth="1"/>
    <col min="25" max="25" width="2.7109375" style="66" customWidth="1"/>
    <col min="26" max="26" width="5.57421875" style="66" customWidth="1"/>
    <col min="27" max="27" width="23.28125" style="66" customWidth="1"/>
    <col min="28" max="28" width="4.7109375" style="66" hidden="1" customWidth="1"/>
    <col min="29" max="29" width="5.00390625" style="66" hidden="1" customWidth="1"/>
    <col min="30" max="16384" width="11.421875" style="66" customWidth="1"/>
  </cols>
  <sheetData>
    <row r="1" spans="1:27" ht="18" customHeight="1" thickBot="1">
      <c r="A1" s="69" t="str">
        <f>'[4]Inscripcions'!A1</f>
        <v>2n. open del CIRCUIT PROVINCIAL</v>
      </c>
      <c r="B1" s="193"/>
      <c r="C1" s="193"/>
      <c r="D1" s="193"/>
      <c r="E1" s="193"/>
      <c r="F1" s="193"/>
      <c r="G1" s="193"/>
      <c r="H1" s="193"/>
      <c r="I1" s="193"/>
      <c r="J1" s="194" t="str">
        <f>'[4]Inscripcions'!D1</f>
        <v>OPEN PROVINCIAL     CENTRE DE TECNIFICACIÓ      26/10/2014</v>
      </c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70" t="str">
        <f>'[4]Inscripcions'!G1</f>
        <v>TEMP   14/15</v>
      </c>
    </row>
    <row r="2" spans="1:27" ht="6.7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</row>
    <row r="3" spans="1:27" ht="14.25" customHeight="1">
      <c r="A3" s="71"/>
      <c r="B3" s="71"/>
      <c r="C3" s="239" t="s">
        <v>37</v>
      </c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71"/>
    </row>
    <row r="4" spans="1:27" ht="9.75" customHeight="1" thickBo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</row>
    <row r="5" spans="1:27" ht="6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</row>
    <row r="6" spans="1:27" ht="23.25" customHeight="1">
      <c r="A6" s="110"/>
      <c r="B6" s="110"/>
      <c r="C6" s="110"/>
      <c r="D6" s="110"/>
      <c r="E6" s="110"/>
      <c r="F6" s="110"/>
      <c r="G6" s="110"/>
      <c r="H6" s="110"/>
      <c r="I6" s="110"/>
      <c r="J6" s="201" t="s">
        <v>64</v>
      </c>
      <c r="K6" s="202"/>
      <c r="L6" s="202"/>
      <c r="M6" s="202"/>
      <c r="N6" s="202"/>
      <c r="O6" s="202"/>
      <c r="P6" s="202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</row>
    <row r="7" spans="1:27" ht="21" customHeight="1" thickBot="1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</row>
    <row r="8" spans="1:23" ht="16.5" thickBot="1">
      <c r="A8" s="110"/>
      <c r="B8" s="110"/>
      <c r="C8" s="110"/>
      <c r="D8" s="203"/>
      <c r="E8" s="203"/>
      <c r="F8" s="71"/>
      <c r="G8" s="71"/>
      <c r="H8" s="71"/>
      <c r="I8" s="71"/>
      <c r="J8" s="71"/>
      <c r="K8" s="204">
        <v>1</v>
      </c>
      <c r="L8" s="205"/>
      <c r="M8" s="206"/>
      <c r="N8" s="207" t="s">
        <v>275</v>
      </c>
      <c r="O8" s="205"/>
      <c r="P8" s="205"/>
      <c r="Q8" s="205"/>
      <c r="R8" s="205"/>
      <c r="S8" s="205"/>
      <c r="T8" s="205"/>
      <c r="U8" s="205"/>
      <c r="V8" s="208"/>
      <c r="W8" s="71"/>
    </row>
    <row r="9" spans="1:23" ht="16.5" thickBot="1">
      <c r="A9" s="110"/>
      <c r="B9" s="110"/>
      <c r="C9" s="110"/>
      <c r="D9" s="203"/>
      <c r="E9" s="203"/>
      <c r="F9" s="71"/>
      <c r="G9" s="71"/>
      <c r="H9" s="71"/>
      <c r="I9" s="71"/>
      <c r="J9" s="71"/>
      <c r="K9" s="204">
        <v>2</v>
      </c>
      <c r="L9" s="205"/>
      <c r="M9" s="206"/>
      <c r="N9" s="207" t="s">
        <v>282</v>
      </c>
      <c r="O9" s="205"/>
      <c r="P9" s="205"/>
      <c r="Q9" s="205"/>
      <c r="R9" s="205"/>
      <c r="S9" s="205"/>
      <c r="T9" s="205"/>
      <c r="U9" s="205"/>
      <c r="V9" s="208"/>
      <c r="W9" s="71"/>
    </row>
    <row r="10" spans="1:23" ht="16.5" thickBot="1">
      <c r="A10" s="110"/>
      <c r="B10" s="110"/>
      <c r="C10" s="110"/>
      <c r="D10" s="203"/>
      <c r="E10" s="203"/>
      <c r="F10" s="71"/>
      <c r="G10" s="71"/>
      <c r="H10" s="71"/>
      <c r="I10" s="71"/>
      <c r="J10" s="71"/>
      <c r="K10" s="204">
        <v>3</v>
      </c>
      <c r="L10" s="205"/>
      <c r="M10" s="206"/>
      <c r="N10" s="207" t="s">
        <v>277</v>
      </c>
      <c r="O10" s="205"/>
      <c r="P10" s="205"/>
      <c r="Q10" s="205"/>
      <c r="R10" s="205"/>
      <c r="S10" s="205"/>
      <c r="T10" s="205"/>
      <c r="U10" s="205"/>
      <c r="V10" s="208"/>
      <c r="W10" s="71"/>
    </row>
    <row r="11" spans="1:23" ht="16.5" thickBot="1">
      <c r="A11" s="110"/>
      <c r="B11" s="110"/>
      <c r="C11" s="110"/>
      <c r="D11" s="203"/>
      <c r="E11" s="203"/>
      <c r="F11" s="71"/>
      <c r="G11" s="71"/>
      <c r="H11" s="71"/>
      <c r="I11" s="71"/>
      <c r="J11" s="71"/>
      <c r="K11" s="204">
        <v>4</v>
      </c>
      <c r="L11" s="205"/>
      <c r="M11" s="206"/>
      <c r="N11" s="207" t="s">
        <v>276</v>
      </c>
      <c r="O11" s="205"/>
      <c r="P11" s="205"/>
      <c r="Q11" s="205"/>
      <c r="R11" s="205"/>
      <c r="S11" s="205"/>
      <c r="T11" s="205"/>
      <c r="U11" s="205"/>
      <c r="V11" s="208"/>
      <c r="W11" s="71"/>
    </row>
    <row r="12" spans="1:23" ht="16.5" thickBot="1">
      <c r="A12" s="110"/>
      <c r="B12" s="110"/>
      <c r="C12" s="110"/>
      <c r="D12" s="203"/>
      <c r="E12" s="203"/>
      <c r="F12" s="71"/>
      <c r="G12" s="71"/>
      <c r="H12" s="71"/>
      <c r="I12" s="71"/>
      <c r="J12" s="71"/>
      <c r="K12" s="204">
        <v>5</v>
      </c>
      <c r="L12" s="205"/>
      <c r="M12" s="206"/>
      <c r="N12" s="207" t="s">
        <v>278</v>
      </c>
      <c r="O12" s="205"/>
      <c r="P12" s="205"/>
      <c r="Q12" s="205"/>
      <c r="R12" s="205"/>
      <c r="S12" s="205"/>
      <c r="T12" s="205"/>
      <c r="U12" s="205"/>
      <c r="V12" s="208"/>
      <c r="W12" s="71"/>
    </row>
    <row r="13" spans="1:23" ht="16.5" thickBot="1">
      <c r="A13" s="110"/>
      <c r="B13" s="110"/>
      <c r="C13" s="110"/>
      <c r="D13" s="203"/>
      <c r="E13" s="203"/>
      <c r="F13" s="71"/>
      <c r="G13" s="71"/>
      <c r="H13" s="71"/>
      <c r="I13" s="71"/>
      <c r="J13" s="71"/>
      <c r="K13" s="204">
        <v>6</v>
      </c>
      <c r="L13" s="205"/>
      <c r="M13" s="206"/>
      <c r="N13" s="207" t="s">
        <v>279</v>
      </c>
      <c r="O13" s="205"/>
      <c r="P13" s="205"/>
      <c r="Q13" s="205"/>
      <c r="R13" s="205"/>
      <c r="S13" s="205"/>
      <c r="T13" s="205"/>
      <c r="U13" s="205"/>
      <c r="V13" s="208"/>
      <c r="W13" s="71"/>
    </row>
    <row r="14" spans="1:23" ht="16.5" thickBot="1">
      <c r="A14" s="110"/>
      <c r="B14" s="110"/>
      <c r="C14" s="110"/>
      <c r="D14" s="203"/>
      <c r="E14" s="203"/>
      <c r="F14" s="71"/>
      <c r="G14" s="71"/>
      <c r="H14" s="71"/>
      <c r="I14" s="71"/>
      <c r="J14" s="71"/>
      <c r="K14" s="204">
        <v>7</v>
      </c>
      <c r="L14" s="205"/>
      <c r="M14" s="206"/>
      <c r="N14" s="207" t="s">
        <v>280</v>
      </c>
      <c r="O14" s="205"/>
      <c r="P14" s="205"/>
      <c r="Q14" s="205"/>
      <c r="R14" s="205"/>
      <c r="S14" s="205"/>
      <c r="T14" s="205"/>
      <c r="U14" s="205"/>
      <c r="V14" s="208"/>
      <c r="W14" s="71"/>
    </row>
    <row r="15" spans="1:23" ht="16.5" thickBot="1">
      <c r="A15" s="110"/>
      <c r="B15" s="110"/>
      <c r="C15" s="110"/>
      <c r="D15" s="203"/>
      <c r="E15" s="203"/>
      <c r="F15" s="71"/>
      <c r="G15" s="71"/>
      <c r="H15" s="71"/>
      <c r="I15" s="71"/>
      <c r="J15" s="71"/>
      <c r="K15" s="204">
        <v>8</v>
      </c>
      <c r="L15" s="205"/>
      <c r="M15" s="206"/>
      <c r="N15" s="207" t="s">
        <v>281</v>
      </c>
      <c r="O15" s="205"/>
      <c r="P15" s="205"/>
      <c r="Q15" s="205"/>
      <c r="R15" s="205"/>
      <c r="S15" s="205"/>
      <c r="T15" s="205"/>
      <c r="U15" s="205"/>
      <c r="V15" s="208"/>
      <c r="W15" s="71"/>
    </row>
    <row r="16" ht="31.5" customHeight="1" thickBot="1"/>
    <row r="17" spans="1:27" ht="16.5" thickBot="1">
      <c r="A17" s="86" t="s">
        <v>36</v>
      </c>
      <c r="B17" s="87">
        <v>1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</row>
    <row r="18" spans="1:27" ht="6.75" customHeight="1" thickBo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</row>
    <row r="19" spans="1:27" ht="16.5" thickBot="1">
      <c r="A19" s="228" t="s">
        <v>0</v>
      </c>
      <c r="B19" s="229"/>
      <c r="C19" s="230"/>
      <c r="D19" s="203"/>
      <c r="E19" s="203"/>
      <c r="F19" s="71"/>
      <c r="G19" s="71"/>
      <c r="H19" s="71"/>
      <c r="I19" s="71"/>
      <c r="J19" s="71"/>
      <c r="K19" s="228" t="s">
        <v>2</v>
      </c>
      <c r="L19" s="229"/>
      <c r="M19" s="229"/>
      <c r="N19" s="229" t="s">
        <v>1</v>
      </c>
      <c r="O19" s="229"/>
      <c r="P19" s="229"/>
      <c r="Q19" s="229"/>
      <c r="R19" s="229"/>
      <c r="S19" s="229"/>
      <c r="T19" s="229"/>
      <c r="U19" s="229"/>
      <c r="V19" s="230"/>
      <c r="W19" s="71"/>
      <c r="X19" s="214" t="s">
        <v>35</v>
      </c>
      <c r="Y19" s="215"/>
      <c r="Z19" s="216"/>
      <c r="AA19" s="88" t="s">
        <v>38</v>
      </c>
    </row>
    <row r="20" spans="1:27" ht="15.75">
      <c r="A20" s="209">
        <v>1</v>
      </c>
      <c r="B20" s="210"/>
      <c r="C20" s="211"/>
      <c r="D20" s="203"/>
      <c r="E20" s="203"/>
      <c r="F20" s="203"/>
      <c r="G20" s="203"/>
      <c r="H20" s="203"/>
      <c r="I20" s="203"/>
      <c r="J20" s="71"/>
      <c r="K20" s="212">
        <v>1</v>
      </c>
      <c r="L20" s="213"/>
      <c r="M20" s="213"/>
      <c r="N20" s="223" t="str">
        <f>VLOOKUP(A20,'[4]Inscripcions'!$A$7:$B$209,2)</f>
        <v>David González</v>
      </c>
      <c r="O20" s="223"/>
      <c r="P20" s="223"/>
      <c r="Q20" s="223"/>
      <c r="R20" s="223"/>
      <c r="S20" s="223"/>
      <c r="T20" s="223"/>
      <c r="U20" s="223"/>
      <c r="V20" s="224"/>
      <c r="W20" s="71"/>
      <c r="X20" s="225">
        <f>IF(AA26=0,0,IF(N20=AA26,3,1))+IF(AA28=0,0,IF(N20=AA28,3,1))+IF(AA30=0,0,IF(N20=AA30,3,1))</f>
        <v>7</v>
      </c>
      <c r="Y20" s="226"/>
      <c r="Z20" s="227"/>
      <c r="AA20" s="84" t="str">
        <f>IF(X20&gt;8,"1r",IF(X20&gt;6,"2n",IF(X20&gt;3,"3r",IF(X20&gt;2,"4t",))))</f>
        <v>2n</v>
      </c>
    </row>
    <row r="21" spans="1:27" ht="15.75">
      <c r="A21" s="233">
        <v>2</v>
      </c>
      <c r="B21" s="234"/>
      <c r="C21" s="235"/>
      <c r="D21" s="203"/>
      <c r="E21" s="203"/>
      <c r="F21" s="203"/>
      <c r="G21" s="203"/>
      <c r="H21" s="203"/>
      <c r="I21" s="203"/>
      <c r="J21" s="71"/>
      <c r="K21" s="231">
        <v>2</v>
      </c>
      <c r="L21" s="232"/>
      <c r="M21" s="232"/>
      <c r="N21" s="223" t="str">
        <f>VLOOKUP(A21,'[4]Inscripcions'!$A$7:$B$209,2)</f>
        <v>Jordi Latorre</v>
      </c>
      <c r="O21" s="223"/>
      <c r="P21" s="223"/>
      <c r="Q21" s="223"/>
      <c r="R21" s="223"/>
      <c r="S21" s="223"/>
      <c r="T21" s="223"/>
      <c r="U21" s="223"/>
      <c r="V21" s="224"/>
      <c r="W21" s="71"/>
      <c r="X21" s="225">
        <f>IF(AA27=0,0,IF(N21=AA27,3,1))+IF(AA29=0,0,IF(N21=AA29,3,1))+IF(AA30=0,0,IF(N21=AA30,3,1))</f>
        <v>9</v>
      </c>
      <c r="Y21" s="226"/>
      <c r="Z21" s="227"/>
      <c r="AA21" s="83" t="str">
        <f>IF(X21&gt;8,"1r",IF(X21&gt;6,"2n",IF(X21&gt;3,"3r",IF(X21&gt;2,"4t",))))</f>
        <v>1r</v>
      </c>
    </row>
    <row r="22" spans="1:27" ht="15.75">
      <c r="A22" s="233">
        <v>3</v>
      </c>
      <c r="B22" s="234"/>
      <c r="C22" s="235"/>
      <c r="D22" s="203"/>
      <c r="E22" s="203"/>
      <c r="F22" s="203"/>
      <c r="G22" s="203"/>
      <c r="H22" s="203"/>
      <c r="I22" s="203"/>
      <c r="J22" s="71"/>
      <c r="K22" s="231">
        <v>3</v>
      </c>
      <c r="L22" s="232"/>
      <c r="M22" s="232"/>
      <c r="N22" s="223" t="str">
        <f>VLOOKUP(A22,'[4]Inscripcions'!$A$7:$B$209,2)</f>
        <v>Ricard Gómez</v>
      </c>
      <c r="O22" s="223"/>
      <c r="P22" s="223"/>
      <c r="Q22" s="223"/>
      <c r="R22" s="223"/>
      <c r="S22" s="223"/>
      <c r="T22" s="223"/>
      <c r="U22" s="223"/>
      <c r="V22" s="224"/>
      <c r="W22" s="71"/>
      <c r="X22" s="225">
        <f>IF(AA27=0,0,IF(N22=AA27,3,1))+IF(AA28=0,0,IF(N22=AA28,3,1))+IF(AA31=0,0,IF(N22=AA31,3,1))</f>
        <v>5</v>
      </c>
      <c r="Y22" s="226"/>
      <c r="Z22" s="227"/>
      <c r="AA22" s="83" t="str">
        <f>IF(X22&gt;8,"1r",IF(X22&gt;6,"2n",IF(X22&gt;3,"3r",IF(X22&gt;2,"4t",))))</f>
        <v>3r</v>
      </c>
    </row>
    <row r="23" spans="1:27" ht="16.5" thickBot="1">
      <c r="A23" s="236">
        <v>4</v>
      </c>
      <c r="B23" s="237"/>
      <c r="C23" s="238"/>
      <c r="D23" s="203"/>
      <c r="E23" s="203"/>
      <c r="F23" s="203"/>
      <c r="G23" s="203"/>
      <c r="H23" s="203"/>
      <c r="I23" s="203"/>
      <c r="J23" s="71"/>
      <c r="K23" s="231">
        <v>4</v>
      </c>
      <c r="L23" s="232"/>
      <c r="M23" s="232"/>
      <c r="N23" s="223" t="str">
        <f>VLOOKUP(A23,'[4]Inscripcions'!$A$7:$B$209,2)</f>
        <v>Oriol Mir</v>
      </c>
      <c r="O23" s="223"/>
      <c r="P23" s="223"/>
      <c r="Q23" s="223"/>
      <c r="R23" s="223"/>
      <c r="S23" s="223"/>
      <c r="T23" s="223"/>
      <c r="U23" s="223"/>
      <c r="V23" s="224"/>
      <c r="W23" s="71"/>
      <c r="X23" s="225">
        <f>IF(AA26=0,0,IF(N23=AA26,3,1))+IF(AA29=0,0,IF(N23=AA29,3,1))+IF(AA31=0,0,IF(N23=AA31,3,1))</f>
        <v>3</v>
      </c>
      <c r="Y23" s="226"/>
      <c r="Z23" s="227"/>
      <c r="AA23" s="83" t="str">
        <f>IF(X23&gt;8,"1r",IF(X23&gt;6,"2n",IF(X23&gt;3,"3r",IF(X23&gt;2,"4t",))))</f>
        <v>4t</v>
      </c>
    </row>
    <row r="24" spans="1:27" ht="6.75" customHeight="1" thickBot="1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</row>
    <row r="25" spans="1:27" ht="13.5" customHeight="1" thickBot="1">
      <c r="A25" s="90" t="s">
        <v>11</v>
      </c>
      <c r="B25" s="90" t="s">
        <v>14</v>
      </c>
      <c r="C25" s="90" t="s">
        <v>4</v>
      </c>
      <c r="D25" s="217" t="s">
        <v>3</v>
      </c>
      <c r="E25" s="218"/>
      <c r="F25" s="219"/>
      <c r="G25" s="91"/>
      <c r="H25" s="220" t="s">
        <v>5</v>
      </c>
      <c r="I25" s="221"/>
      <c r="J25" s="222"/>
      <c r="K25" s="220" t="s">
        <v>7</v>
      </c>
      <c r="L25" s="221"/>
      <c r="M25" s="222"/>
      <c r="N25" s="220" t="s">
        <v>8</v>
      </c>
      <c r="O25" s="221"/>
      <c r="P25" s="222"/>
      <c r="Q25" s="220" t="s">
        <v>9</v>
      </c>
      <c r="R25" s="221"/>
      <c r="S25" s="222"/>
      <c r="T25" s="220" t="s">
        <v>10</v>
      </c>
      <c r="U25" s="221"/>
      <c r="V25" s="222"/>
      <c r="W25" s="91"/>
      <c r="X25" s="220" t="s">
        <v>12</v>
      </c>
      <c r="Y25" s="221"/>
      <c r="Z25" s="222"/>
      <c r="AA25" s="90" t="s">
        <v>13</v>
      </c>
    </row>
    <row r="26" spans="1:27" ht="17.25" customHeight="1" thickBot="1">
      <c r="A26" s="185">
        <v>0.5833333333333334</v>
      </c>
      <c r="B26" s="82" t="s">
        <v>15</v>
      </c>
      <c r="C26" s="88">
        <v>3</v>
      </c>
      <c r="D26" s="92">
        <v>1</v>
      </c>
      <c r="E26" s="93" t="s">
        <v>6</v>
      </c>
      <c r="F26" s="94">
        <v>4</v>
      </c>
      <c r="G26" s="91"/>
      <c r="H26" s="95">
        <v>11</v>
      </c>
      <c r="I26" s="74"/>
      <c r="J26" s="96">
        <v>6</v>
      </c>
      <c r="K26" s="95">
        <v>14</v>
      </c>
      <c r="L26" s="74"/>
      <c r="M26" s="96">
        <v>12</v>
      </c>
      <c r="N26" s="95">
        <v>9</v>
      </c>
      <c r="O26" s="74"/>
      <c r="P26" s="96">
        <v>11</v>
      </c>
      <c r="Q26" s="95">
        <v>11</v>
      </c>
      <c r="R26" s="74"/>
      <c r="S26" s="96">
        <v>5</v>
      </c>
      <c r="T26" s="95"/>
      <c r="U26" s="74"/>
      <c r="V26" s="96"/>
      <c r="W26" s="91"/>
      <c r="X26" s="89">
        <f aca="true" t="shared" si="0" ref="X26:X31">IF(H26&gt;J26,1,0)+IF(K26&gt;M26,1,0)+IF(N26&gt;P26,1,0)+IF(Q26&gt;S26,1,0)+IF(T26&gt;V26,1,0)</f>
        <v>3</v>
      </c>
      <c r="Y26" s="74" t="s">
        <v>6</v>
      </c>
      <c r="Z26" s="97">
        <f aca="true" t="shared" si="1" ref="Z26:Z31">IF(H26&lt;J26,1,0)+IF(K26&lt;M26,1,0)+IF(N26&lt;P26,1,0)+IF(Q26&lt;S26,1,0)+IF(T26&lt;V26,1,0)</f>
        <v>1</v>
      </c>
      <c r="AA26" s="98" t="str">
        <f>IF(X26&gt;Z26,N20,IF(X26&lt;Z26,N23,0))</f>
        <v>David González</v>
      </c>
    </row>
    <row r="27" spans="1:27" ht="16.5" customHeight="1" thickBot="1">
      <c r="A27" s="195">
        <v>0.5972222222222222</v>
      </c>
      <c r="B27" s="82" t="s">
        <v>15</v>
      </c>
      <c r="C27" s="99">
        <v>1</v>
      </c>
      <c r="D27" s="100">
        <v>2</v>
      </c>
      <c r="E27" s="101" t="s">
        <v>6</v>
      </c>
      <c r="F27" s="87">
        <v>3</v>
      </c>
      <c r="G27" s="71"/>
      <c r="H27" s="95">
        <v>9</v>
      </c>
      <c r="I27" s="74"/>
      <c r="J27" s="96">
        <v>11</v>
      </c>
      <c r="K27" s="95">
        <v>9</v>
      </c>
      <c r="L27" s="74"/>
      <c r="M27" s="96">
        <v>11</v>
      </c>
      <c r="N27" s="95">
        <v>11</v>
      </c>
      <c r="O27" s="74"/>
      <c r="P27" s="96">
        <v>8</v>
      </c>
      <c r="Q27" s="102">
        <v>11</v>
      </c>
      <c r="R27" s="75"/>
      <c r="S27" s="103">
        <v>7</v>
      </c>
      <c r="T27" s="102">
        <v>11</v>
      </c>
      <c r="U27" s="75"/>
      <c r="V27" s="103">
        <v>9</v>
      </c>
      <c r="W27" s="73"/>
      <c r="X27" s="89">
        <f t="shared" si="0"/>
        <v>3</v>
      </c>
      <c r="Y27" s="75" t="s">
        <v>6</v>
      </c>
      <c r="Z27" s="97">
        <f t="shared" si="1"/>
        <v>2</v>
      </c>
      <c r="AA27" s="104" t="str">
        <f>IF(X27&gt;Z27,N21,IF(X27&lt;Z27,N22,0))</f>
        <v>Jordi Latorre</v>
      </c>
    </row>
    <row r="28" spans="1:27" ht="18" customHeight="1" thickBot="1">
      <c r="A28" s="195">
        <v>0.611111111111111</v>
      </c>
      <c r="B28" s="82" t="s">
        <v>15</v>
      </c>
      <c r="C28" s="88">
        <v>4</v>
      </c>
      <c r="D28" s="92">
        <v>1</v>
      </c>
      <c r="E28" s="93" t="s">
        <v>6</v>
      </c>
      <c r="F28" s="94">
        <v>3</v>
      </c>
      <c r="G28" s="91"/>
      <c r="H28" s="95">
        <v>11</v>
      </c>
      <c r="I28" s="74"/>
      <c r="J28" s="96">
        <v>7</v>
      </c>
      <c r="K28" s="95">
        <v>11</v>
      </c>
      <c r="L28" s="74"/>
      <c r="M28" s="96">
        <v>7</v>
      </c>
      <c r="N28" s="95">
        <v>11</v>
      </c>
      <c r="O28" s="74"/>
      <c r="P28" s="96">
        <v>3</v>
      </c>
      <c r="Q28" s="95"/>
      <c r="R28" s="74"/>
      <c r="S28" s="96"/>
      <c r="T28" s="95"/>
      <c r="U28" s="74"/>
      <c r="V28" s="96"/>
      <c r="W28" s="91"/>
      <c r="X28" s="89">
        <f t="shared" si="0"/>
        <v>3</v>
      </c>
      <c r="Y28" s="74" t="s">
        <v>6</v>
      </c>
      <c r="Z28" s="97">
        <f t="shared" si="1"/>
        <v>0</v>
      </c>
      <c r="AA28" s="98" t="str">
        <f>IF(X28&gt;Z28,N20,IF(X28&lt;Z28,N22,0))</f>
        <v>David González</v>
      </c>
    </row>
    <row r="29" spans="1:27" ht="18" customHeight="1" thickBot="1">
      <c r="A29" s="185">
        <v>0.625</v>
      </c>
      <c r="B29" s="82" t="s">
        <v>15</v>
      </c>
      <c r="C29" s="99">
        <v>3</v>
      </c>
      <c r="D29" s="100">
        <v>2</v>
      </c>
      <c r="E29" s="101" t="s">
        <v>6</v>
      </c>
      <c r="F29" s="87">
        <v>4</v>
      </c>
      <c r="G29" s="71"/>
      <c r="H29" s="95">
        <v>11</v>
      </c>
      <c r="I29" s="74"/>
      <c r="J29" s="96">
        <v>8</v>
      </c>
      <c r="K29" s="95">
        <v>10</v>
      </c>
      <c r="L29" s="74"/>
      <c r="M29" s="96">
        <v>12</v>
      </c>
      <c r="N29" s="95">
        <v>13</v>
      </c>
      <c r="O29" s="74"/>
      <c r="P29" s="96">
        <v>11</v>
      </c>
      <c r="Q29" s="102"/>
      <c r="R29" s="75"/>
      <c r="S29" s="103"/>
      <c r="T29" s="102"/>
      <c r="U29" s="75"/>
      <c r="V29" s="103"/>
      <c r="W29" s="73"/>
      <c r="X29" s="89">
        <f t="shared" si="0"/>
        <v>2</v>
      </c>
      <c r="Y29" s="75" t="s">
        <v>6</v>
      </c>
      <c r="Z29" s="97">
        <f t="shared" si="1"/>
        <v>1</v>
      </c>
      <c r="AA29" s="104" t="str">
        <f>IF(X29&gt;Z29,N21,IF(X29&lt;Z29,N23,0))</f>
        <v>Jordi Latorre</v>
      </c>
    </row>
    <row r="30" spans="1:27" ht="18" customHeight="1" thickBot="1">
      <c r="A30" s="195">
        <v>0.638888888888889</v>
      </c>
      <c r="B30" s="82" t="s">
        <v>15</v>
      </c>
      <c r="C30" s="88">
        <v>4</v>
      </c>
      <c r="D30" s="92">
        <v>1</v>
      </c>
      <c r="E30" s="93" t="s">
        <v>6</v>
      </c>
      <c r="F30" s="94">
        <v>2</v>
      </c>
      <c r="G30" s="91"/>
      <c r="H30" s="95">
        <v>4</v>
      </c>
      <c r="I30" s="74"/>
      <c r="J30" s="96">
        <v>11</v>
      </c>
      <c r="K30" s="95">
        <v>11</v>
      </c>
      <c r="L30" s="74"/>
      <c r="M30" s="96">
        <v>4</v>
      </c>
      <c r="N30" s="95">
        <v>9</v>
      </c>
      <c r="O30" s="74"/>
      <c r="P30" s="96">
        <v>11</v>
      </c>
      <c r="Q30" s="95">
        <v>10</v>
      </c>
      <c r="R30" s="74"/>
      <c r="S30" s="96">
        <v>12</v>
      </c>
      <c r="T30" s="95"/>
      <c r="U30" s="74"/>
      <c r="V30" s="96"/>
      <c r="W30" s="91"/>
      <c r="X30" s="89">
        <f t="shared" si="0"/>
        <v>1</v>
      </c>
      <c r="Y30" s="74" t="s">
        <v>6</v>
      </c>
      <c r="Z30" s="97">
        <f t="shared" si="1"/>
        <v>3</v>
      </c>
      <c r="AA30" s="98" t="str">
        <f>IF(X30&gt;Z30,N20,IF(X30&lt;Z30,N21,0))</f>
        <v>Jordi Latorre</v>
      </c>
    </row>
    <row r="31" spans="1:27" ht="17.25" customHeight="1" thickBot="1">
      <c r="A31" s="185">
        <v>0.6527777777777778</v>
      </c>
      <c r="B31" s="82" t="s">
        <v>15</v>
      </c>
      <c r="C31" s="99">
        <v>2</v>
      </c>
      <c r="D31" s="100">
        <v>3</v>
      </c>
      <c r="E31" s="101" t="s">
        <v>6</v>
      </c>
      <c r="F31" s="87">
        <v>4</v>
      </c>
      <c r="G31" s="71"/>
      <c r="H31" s="95">
        <v>9</v>
      </c>
      <c r="I31" s="74"/>
      <c r="J31" s="96">
        <v>11</v>
      </c>
      <c r="K31" s="95">
        <v>14</v>
      </c>
      <c r="L31" s="74"/>
      <c r="M31" s="96">
        <v>12</v>
      </c>
      <c r="N31" s="95">
        <v>11</v>
      </c>
      <c r="O31" s="74"/>
      <c r="P31" s="96">
        <v>4</v>
      </c>
      <c r="Q31" s="105">
        <v>11</v>
      </c>
      <c r="R31" s="76"/>
      <c r="S31" s="106">
        <v>4</v>
      </c>
      <c r="T31" s="105"/>
      <c r="U31" s="76"/>
      <c r="V31" s="106"/>
      <c r="W31" s="73"/>
      <c r="X31" s="107">
        <f t="shared" si="0"/>
        <v>3</v>
      </c>
      <c r="Y31" s="76" t="s">
        <v>6</v>
      </c>
      <c r="Z31" s="108">
        <f t="shared" si="1"/>
        <v>1</v>
      </c>
      <c r="AA31" s="109" t="str">
        <f>IF(X31&gt;Z31,N22,IF(X31&lt;Z31,N23,0))</f>
        <v>Ricard Gómez</v>
      </c>
    </row>
    <row r="32" spans="1:27" ht="15.75" thickBot="1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</row>
    <row r="33" spans="1:27" ht="6.75" customHeight="1" thickBo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</row>
    <row r="34" spans="1:27" ht="16.5" thickBot="1">
      <c r="A34" s="86" t="s">
        <v>36</v>
      </c>
      <c r="B34" s="87">
        <v>2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</row>
    <row r="35" spans="1:27" ht="6.75" customHeight="1" thickBot="1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</row>
    <row r="36" spans="1:31" ht="16.5" thickBot="1">
      <c r="A36" s="228" t="s">
        <v>0</v>
      </c>
      <c r="B36" s="229"/>
      <c r="C36" s="230"/>
      <c r="D36" s="203"/>
      <c r="E36" s="203"/>
      <c r="F36" s="71"/>
      <c r="G36" s="71"/>
      <c r="H36" s="71"/>
      <c r="I36" s="71"/>
      <c r="J36" s="71"/>
      <c r="K36" s="228" t="s">
        <v>2</v>
      </c>
      <c r="L36" s="229"/>
      <c r="M36" s="229"/>
      <c r="N36" s="229" t="s">
        <v>1</v>
      </c>
      <c r="O36" s="229"/>
      <c r="P36" s="229"/>
      <c r="Q36" s="229"/>
      <c r="R36" s="229"/>
      <c r="S36" s="229"/>
      <c r="T36" s="229"/>
      <c r="U36" s="229"/>
      <c r="V36" s="230"/>
      <c r="W36" s="71"/>
      <c r="X36" s="214" t="s">
        <v>35</v>
      </c>
      <c r="Y36" s="215"/>
      <c r="Z36" s="216"/>
      <c r="AA36" s="88" t="s">
        <v>38</v>
      </c>
      <c r="AE36" s="66" t="s">
        <v>60</v>
      </c>
    </row>
    <row r="37" spans="1:27" ht="15.75">
      <c r="A37" s="209">
        <v>5</v>
      </c>
      <c r="B37" s="210"/>
      <c r="C37" s="211"/>
      <c r="D37" s="203"/>
      <c r="E37" s="203"/>
      <c r="F37" s="203"/>
      <c r="G37" s="203"/>
      <c r="H37" s="203"/>
      <c r="I37" s="203"/>
      <c r="J37" s="71"/>
      <c r="K37" s="212">
        <v>1</v>
      </c>
      <c r="L37" s="213"/>
      <c r="M37" s="213"/>
      <c r="N37" s="223" t="str">
        <f>VLOOKUP(A37,'[4]Inscripcions'!$A$7:$B$209,2)</f>
        <v>Patrick Rodriguez</v>
      </c>
      <c r="O37" s="223"/>
      <c r="P37" s="223"/>
      <c r="Q37" s="223"/>
      <c r="R37" s="223"/>
      <c r="S37" s="223"/>
      <c r="T37" s="223"/>
      <c r="U37" s="223"/>
      <c r="V37" s="224"/>
      <c r="W37" s="71"/>
      <c r="X37" s="225">
        <f>IF(AA43=0,0,IF(N37=AA43,3,1))+IF(AA45=0,0,IF(N37=AA45,3,1))+IF(AA47=0,0,IF(N37=AA47,3,1))</f>
        <v>9</v>
      </c>
      <c r="Y37" s="226"/>
      <c r="Z37" s="227"/>
      <c r="AA37" s="84" t="str">
        <f>IF(X37&gt;8,"1r",IF(X37&gt;6,"2n",IF(X37&gt;3,"3r",IF(X37&gt;2,"4t",))))</f>
        <v>1r</v>
      </c>
    </row>
    <row r="38" spans="1:27" ht="15.75">
      <c r="A38" s="233">
        <v>6</v>
      </c>
      <c r="B38" s="234"/>
      <c r="C38" s="235"/>
      <c r="D38" s="203"/>
      <c r="E38" s="203"/>
      <c r="F38" s="203"/>
      <c r="G38" s="203"/>
      <c r="H38" s="203"/>
      <c r="I38" s="203"/>
      <c r="J38" s="71"/>
      <c r="K38" s="231">
        <v>2</v>
      </c>
      <c r="L38" s="232"/>
      <c r="M38" s="232"/>
      <c r="N38" s="223" t="str">
        <f>VLOOKUP(A38,'[4]Inscripcions'!$A$7:$B$209,2)</f>
        <v>Ivan Fernández</v>
      </c>
      <c r="O38" s="223"/>
      <c r="P38" s="223"/>
      <c r="Q38" s="223"/>
      <c r="R38" s="223"/>
      <c r="S38" s="223"/>
      <c r="T38" s="223"/>
      <c r="U38" s="223"/>
      <c r="V38" s="224"/>
      <c r="W38" s="71"/>
      <c r="X38" s="225">
        <f>IF(AA44=0,0,IF(N38=AA44,3,1))+IF(AA46=0,0,IF(N38=AA46,3,1))+IF(AA47=0,0,IF(N38=AA47,3,1))</f>
        <v>7</v>
      </c>
      <c r="Y38" s="226"/>
      <c r="Z38" s="227"/>
      <c r="AA38" s="83" t="str">
        <f>IF(X38&gt;8,"1r",IF(X38&gt;6,"2n",IF(X38&gt;3,"3r",IF(X38&gt;2,"4t",))))</f>
        <v>2n</v>
      </c>
    </row>
    <row r="39" spans="1:27" ht="15.75">
      <c r="A39" s="233">
        <v>7</v>
      </c>
      <c r="B39" s="234"/>
      <c r="C39" s="235"/>
      <c r="D39" s="203"/>
      <c r="E39" s="203"/>
      <c r="F39" s="203"/>
      <c r="G39" s="203"/>
      <c r="H39" s="203"/>
      <c r="I39" s="203"/>
      <c r="J39" s="71"/>
      <c r="K39" s="231">
        <v>3</v>
      </c>
      <c r="L39" s="232"/>
      <c r="M39" s="232"/>
      <c r="N39" s="223" t="str">
        <f>VLOOKUP(A39,'[4]Inscripcions'!$A$7:$B$209,2)</f>
        <v>Cristian Fernández</v>
      </c>
      <c r="O39" s="223"/>
      <c r="P39" s="223"/>
      <c r="Q39" s="223"/>
      <c r="R39" s="223"/>
      <c r="S39" s="223"/>
      <c r="T39" s="223"/>
      <c r="U39" s="223"/>
      <c r="V39" s="224"/>
      <c r="W39" s="71"/>
      <c r="X39" s="225">
        <f>IF(AA44=0,0,IF(N39=AA44,3,1))+IF(AA45=0,0,IF(N39=AA45,3,1))+IF(AA48=0,0,IF(N39=AA48,3,1))</f>
        <v>3</v>
      </c>
      <c r="Y39" s="226"/>
      <c r="Z39" s="227"/>
      <c r="AA39" s="83" t="str">
        <f>IF(X39&gt;8,"1r",IF(X39&gt;6,"2n",IF(X39&gt;3,"3r",IF(X39&gt;2,"4t",))))</f>
        <v>4t</v>
      </c>
    </row>
    <row r="40" spans="1:27" ht="16.5" thickBot="1">
      <c r="A40" s="236">
        <v>8</v>
      </c>
      <c r="B40" s="237"/>
      <c r="C40" s="238"/>
      <c r="D40" s="203"/>
      <c r="E40" s="203"/>
      <c r="F40" s="203"/>
      <c r="G40" s="203"/>
      <c r="H40" s="203"/>
      <c r="I40" s="203"/>
      <c r="J40" s="71"/>
      <c r="K40" s="231">
        <v>4</v>
      </c>
      <c r="L40" s="232"/>
      <c r="M40" s="232"/>
      <c r="N40" s="223" t="str">
        <f>VLOOKUP(A40,'[4]Inscripcions'!$A$7:$B$209,2)</f>
        <v>Manel Martínez</v>
      </c>
      <c r="O40" s="223"/>
      <c r="P40" s="223"/>
      <c r="Q40" s="223"/>
      <c r="R40" s="223"/>
      <c r="S40" s="223"/>
      <c r="T40" s="223"/>
      <c r="U40" s="223"/>
      <c r="V40" s="224"/>
      <c r="W40" s="71"/>
      <c r="X40" s="225">
        <f>IF(AA43=0,0,IF(N40=AA43,3,1))+IF(AA46=0,0,IF(N40=AA46,3,1))+IF(AA48=0,0,IF(N40=AA48,3,1))</f>
        <v>5</v>
      </c>
      <c r="Y40" s="226"/>
      <c r="Z40" s="227"/>
      <c r="AA40" s="83" t="str">
        <f>IF(X40&gt;8,"1r",IF(X40&gt;6,"2n",IF(X40&gt;3,"3r",IF(X40&gt;2,"4t",))))</f>
        <v>3r</v>
      </c>
    </row>
    <row r="41" spans="1:27" ht="6.75" customHeight="1" thickBot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</row>
    <row r="42" spans="1:27" ht="13.5" customHeight="1" thickBot="1">
      <c r="A42" s="90" t="s">
        <v>11</v>
      </c>
      <c r="B42" s="90" t="s">
        <v>14</v>
      </c>
      <c r="C42" s="90" t="s">
        <v>4</v>
      </c>
      <c r="D42" s="217" t="s">
        <v>3</v>
      </c>
      <c r="E42" s="218"/>
      <c r="F42" s="219"/>
      <c r="G42" s="91"/>
      <c r="H42" s="220" t="s">
        <v>5</v>
      </c>
      <c r="I42" s="221"/>
      <c r="J42" s="222"/>
      <c r="K42" s="220" t="s">
        <v>7</v>
      </c>
      <c r="L42" s="221"/>
      <c r="M42" s="222"/>
      <c r="N42" s="220" t="s">
        <v>8</v>
      </c>
      <c r="O42" s="221"/>
      <c r="P42" s="222"/>
      <c r="Q42" s="220" t="s">
        <v>9</v>
      </c>
      <c r="R42" s="221"/>
      <c r="S42" s="222"/>
      <c r="T42" s="220" t="s">
        <v>10</v>
      </c>
      <c r="U42" s="221"/>
      <c r="V42" s="222"/>
      <c r="W42" s="91"/>
      <c r="X42" s="220" t="s">
        <v>12</v>
      </c>
      <c r="Y42" s="221"/>
      <c r="Z42" s="222"/>
      <c r="AA42" s="90" t="s">
        <v>13</v>
      </c>
    </row>
    <row r="43" spans="1:27" ht="18" customHeight="1" thickBot="1">
      <c r="A43" s="185">
        <v>0.5833333333333334</v>
      </c>
      <c r="B43" s="82" t="s">
        <v>266</v>
      </c>
      <c r="C43" s="88">
        <v>3</v>
      </c>
      <c r="D43" s="92">
        <v>1</v>
      </c>
      <c r="E43" s="93" t="s">
        <v>6</v>
      </c>
      <c r="F43" s="94">
        <v>4</v>
      </c>
      <c r="G43" s="91"/>
      <c r="H43" s="95">
        <v>11</v>
      </c>
      <c r="I43" s="74"/>
      <c r="J43" s="96">
        <v>8</v>
      </c>
      <c r="K43" s="95">
        <v>11</v>
      </c>
      <c r="L43" s="74"/>
      <c r="M43" s="96">
        <v>5</v>
      </c>
      <c r="N43" s="95">
        <v>11</v>
      </c>
      <c r="O43" s="74"/>
      <c r="P43" s="96">
        <v>8</v>
      </c>
      <c r="Q43" s="95"/>
      <c r="R43" s="74"/>
      <c r="S43" s="96"/>
      <c r="T43" s="95"/>
      <c r="U43" s="74"/>
      <c r="V43" s="96"/>
      <c r="W43" s="91"/>
      <c r="X43" s="89">
        <f aca="true" t="shared" si="2" ref="X43:X48">IF(H43&gt;J43,1,0)+IF(K43&gt;M43,1,0)+IF(N43&gt;P43,1,0)+IF(Q43&gt;S43,1,0)+IF(T43&gt;V43,1,0)</f>
        <v>3</v>
      </c>
      <c r="Y43" s="74" t="s">
        <v>6</v>
      </c>
      <c r="Z43" s="97">
        <f aca="true" t="shared" si="3" ref="Z43:Z48">IF(H43&lt;J43,1,0)+IF(K43&lt;M43,1,0)+IF(N43&lt;P43,1,0)+IF(Q43&lt;S43,1,0)+IF(T43&lt;V43,1,0)</f>
        <v>0</v>
      </c>
      <c r="AA43" s="98" t="str">
        <f>IF(X43&gt;Z43,N37,IF(X43&lt;Z43,N40,0))</f>
        <v>Patrick Rodriguez</v>
      </c>
    </row>
    <row r="44" spans="1:27" ht="18" customHeight="1" thickBot="1">
      <c r="A44" s="195">
        <v>0.5972222222222222</v>
      </c>
      <c r="B44" s="82" t="s">
        <v>266</v>
      </c>
      <c r="C44" s="99">
        <v>1</v>
      </c>
      <c r="D44" s="100">
        <v>2</v>
      </c>
      <c r="E44" s="101" t="s">
        <v>6</v>
      </c>
      <c r="F44" s="87">
        <v>3</v>
      </c>
      <c r="G44" s="71"/>
      <c r="H44" s="95">
        <v>11</v>
      </c>
      <c r="I44" s="74"/>
      <c r="J44" s="96">
        <v>7</v>
      </c>
      <c r="K44" s="95">
        <v>7</v>
      </c>
      <c r="L44" s="74"/>
      <c r="M44" s="96">
        <v>11</v>
      </c>
      <c r="N44" s="95">
        <v>11</v>
      </c>
      <c r="O44" s="74"/>
      <c r="P44" s="96">
        <v>5</v>
      </c>
      <c r="Q44" s="102">
        <v>5</v>
      </c>
      <c r="R44" s="75"/>
      <c r="S44" s="103">
        <v>11</v>
      </c>
      <c r="T44" s="102">
        <v>11</v>
      </c>
      <c r="U44" s="75"/>
      <c r="V44" s="103">
        <v>9</v>
      </c>
      <c r="W44" s="73"/>
      <c r="X44" s="89">
        <f t="shared" si="2"/>
        <v>3</v>
      </c>
      <c r="Y44" s="75" t="s">
        <v>6</v>
      </c>
      <c r="Z44" s="97">
        <f t="shared" si="3"/>
        <v>2</v>
      </c>
      <c r="AA44" s="104" t="str">
        <f>IF(X44&gt;Z44,N38,IF(X44&lt;Z44,N39,0))</f>
        <v>Ivan Fernández</v>
      </c>
    </row>
    <row r="45" spans="1:27" ht="19.5" customHeight="1" thickBot="1">
      <c r="A45" s="195">
        <v>0.611111111111111</v>
      </c>
      <c r="B45" s="82" t="s">
        <v>266</v>
      </c>
      <c r="C45" s="88">
        <v>4</v>
      </c>
      <c r="D45" s="92">
        <v>1</v>
      </c>
      <c r="E45" s="93" t="s">
        <v>6</v>
      </c>
      <c r="F45" s="94">
        <v>3</v>
      </c>
      <c r="G45" s="91"/>
      <c r="H45" s="95">
        <v>11</v>
      </c>
      <c r="I45" s="74"/>
      <c r="J45" s="96">
        <v>6</v>
      </c>
      <c r="K45" s="95">
        <v>11</v>
      </c>
      <c r="L45" s="74"/>
      <c r="M45" s="96">
        <v>2</v>
      </c>
      <c r="N45" s="95">
        <v>11</v>
      </c>
      <c r="O45" s="74"/>
      <c r="P45" s="96">
        <v>8</v>
      </c>
      <c r="Q45" s="95"/>
      <c r="R45" s="74"/>
      <c r="S45" s="96"/>
      <c r="T45" s="95"/>
      <c r="U45" s="74"/>
      <c r="V45" s="96"/>
      <c r="W45" s="91"/>
      <c r="X45" s="89">
        <f t="shared" si="2"/>
        <v>3</v>
      </c>
      <c r="Y45" s="74" t="s">
        <v>6</v>
      </c>
      <c r="Z45" s="97">
        <f t="shared" si="3"/>
        <v>0</v>
      </c>
      <c r="AA45" s="98" t="str">
        <f>IF(X45&gt;Z45,N37,IF(X45&lt;Z45,N39,0))</f>
        <v>Patrick Rodriguez</v>
      </c>
    </row>
    <row r="46" spans="1:27" ht="17.25" customHeight="1" thickBot="1">
      <c r="A46" s="185">
        <v>0.625</v>
      </c>
      <c r="B46" s="82" t="s">
        <v>266</v>
      </c>
      <c r="C46" s="99">
        <v>3</v>
      </c>
      <c r="D46" s="100">
        <v>2</v>
      </c>
      <c r="E46" s="101" t="s">
        <v>6</v>
      </c>
      <c r="F46" s="87">
        <v>4</v>
      </c>
      <c r="G46" s="71"/>
      <c r="H46" s="95">
        <v>10</v>
      </c>
      <c r="I46" s="74"/>
      <c r="J46" s="96">
        <v>12</v>
      </c>
      <c r="K46" s="95">
        <v>11</v>
      </c>
      <c r="L46" s="74"/>
      <c r="M46" s="96">
        <v>6</v>
      </c>
      <c r="N46" s="95">
        <v>11</v>
      </c>
      <c r="O46" s="74"/>
      <c r="P46" s="96">
        <v>8</v>
      </c>
      <c r="Q46" s="102">
        <v>11</v>
      </c>
      <c r="R46" s="75"/>
      <c r="S46" s="103">
        <v>9</v>
      </c>
      <c r="T46" s="102"/>
      <c r="U46" s="75"/>
      <c r="V46" s="103"/>
      <c r="W46" s="73"/>
      <c r="X46" s="89">
        <f t="shared" si="2"/>
        <v>3</v>
      </c>
      <c r="Y46" s="75" t="s">
        <v>6</v>
      </c>
      <c r="Z46" s="97">
        <f t="shared" si="3"/>
        <v>1</v>
      </c>
      <c r="AA46" s="104" t="str">
        <f>IF(X46&gt;Z46,N38,IF(X46&lt;Z46,N40,0))</f>
        <v>Ivan Fernández</v>
      </c>
    </row>
    <row r="47" spans="1:27" ht="16.5" customHeight="1" thickBot="1">
      <c r="A47" s="195">
        <v>0.638888888888889</v>
      </c>
      <c r="B47" s="82" t="s">
        <v>266</v>
      </c>
      <c r="C47" s="88">
        <v>4</v>
      </c>
      <c r="D47" s="92">
        <v>1</v>
      </c>
      <c r="E47" s="93" t="s">
        <v>6</v>
      </c>
      <c r="F47" s="94">
        <v>2</v>
      </c>
      <c r="G47" s="91"/>
      <c r="H47" s="95">
        <v>11</v>
      </c>
      <c r="I47" s="74"/>
      <c r="J47" s="96">
        <v>7</v>
      </c>
      <c r="K47" s="95">
        <v>11</v>
      </c>
      <c r="L47" s="74"/>
      <c r="M47" s="96">
        <v>9</v>
      </c>
      <c r="N47" s="95">
        <v>11</v>
      </c>
      <c r="O47" s="74"/>
      <c r="P47" s="96">
        <v>8</v>
      </c>
      <c r="Q47" s="95"/>
      <c r="R47" s="74"/>
      <c r="S47" s="96"/>
      <c r="T47" s="95"/>
      <c r="U47" s="74"/>
      <c r="V47" s="96"/>
      <c r="W47" s="91"/>
      <c r="X47" s="89">
        <f t="shared" si="2"/>
        <v>3</v>
      </c>
      <c r="Y47" s="74" t="s">
        <v>6</v>
      </c>
      <c r="Z47" s="97">
        <f t="shared" si="3"/>
        <v>0</v>
      </c>
      <c r="AA47" s="98" t="str">
        <f>IF(X47&gt;Z47,N37,IF(X47&lt;Z47,N38,0))</f>
        <v>Patrick Rodriguez</v>
      </c>
    </row>
    <row r="48" spans="1:27" ht="15.75" customHeight="1" thickBot="1">
      <c r="A48" s="185">
        <v>0.6527777777777778</v>
      </c>
      <c r="B48" s="82" t="s">
        <v>266</v>
      </c>
      <c r="C48" s="99">
        <v>2</v>
      </c>
      <c r="D48" s="100">
        <v>3</v>
      </c>
      <c r="E48" s="101" t="s">
        <v>6</v>
      </c>
      <c r="F48" s="87">
        <v>4</v>
      </c>
      <c r="G48" s="71"/>
      <c r="H48" s="95">
        <v>7</v>
      </c>
      <c r="I48" s="74"/>
      <c r="J48" s="96">
        <v>11</v>
      </c>
      <c r="K48" s="95">
        <v>5</v>
      </c>
      <c r="L48" s="74"/>
      <c r="M48" s="96">
        <v>11</v>
      </c>
      <c r="N48" s="95">
        <v>11</v>
      </c>
      <c r="O48" s="74"/>
      <c r="P48" s="96">
        <v>8</v>
      </c>
      <c r="Q48" s="105">
        <v>11</v>
      </c>
      <c r="R48" s="76"/>
      <c r="S48" s="106">
        <v>9</v>
      </c>
      <c r="T48" s="105">
        <v>13</v>
      </c>
      <c r="U48" s="76"/>
      <c r="V48" s="106">
        <v>15</v>
      </c>
      <c r="W48" s="73"/>
      <c r="X48" s="107">
        <f t="shared" si="2"/>
        <v>2</v>
      </c>
      <c r="Y48" s="76" t="s">
        <v>6</v>
      </c>
      <c r="Z48" s="108">
        <f t="shared" si="3"/>
        <v>3</v>
      </c>
      <c r="AA48" s="109" t="str">
        <f>IF(X48&gt;Z48,N39,IF(X48&lt;Z48,N40,0))</f>
        <v>Manel Martínez</v>
      </c>
    </row>
    <row r="49" spans="1:27" ht="15.75" thickBot="1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</row>
    <row r="50" spans="1:27" ht="6.75" customHeight="1" thickBo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</row>
    <row r="51" spans="1:27" ht="16.5" thickBot="1">
      <c r="A51" s="86" t="s">
        <v>36</v>
      </c>
      <c r="B51" s="87">
        <v>3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</row>
    <row r="52" spans="1:27" ht="6.75" customHeight="1" thickBot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</row>
    <row r="53" spans="1:27" ht="16.5" thickBot="1">
      <c r="A53" s="228" t="s">
        <v>0</v>
      </c>
      <c r="B53" s="229"/>
      <c r="C53" s="230"/>
      <c r="D53" s="203"/>
      <c r="E53" s="203"/>
      <c r="F53" s="71"/>
      <c r="G53" s="71"/>
      <c r="H53" s="71"/>
      <c r="I53" s="71"/>
      <c r="J53" s="71"/>
      <c r="K53" s="228" t="s">
        <v>2</v>
      </c>
      <c r="L53" s="229"/>
      <c r="M53" s="229"/>
      <c r="N53" s="229" t="s">
        <v>1</v>
      </c>
      <c r="O53" s="229"/>
      <c r="P53" s="229"/>
      <c r="Q53" s="229"/>
      <c r="R53" s="229"/>
      <c r="S53" s="229"/>
      <c r="T53" s="229"/>
      <c r="U53" s="229"/>
      <c r="V53" s="230"/>
      <c r="W53" s="71"/>
      <c r="X53" s="214" t="s">
        <v>35</v>
      </c>
      <c r="Y53" s="215"/>
      <c r="Z53" s="216"/>
      <c r="AA53" s="88" t="s">
        <v>38</v>
      </c>
    </row>
    <row r="54" spans="1:27" ht="15.75">
      <c r="A54" s="209">
        <v>9</v>
      </c>
      <c r="B54" s="210"/>
      <c r="C54" s="211"/>
      <c r="D54" s="203"/>
      <c r="E54" s="203"/>
      <c r="F54" s="203"/>
      <c r="G54" s="203"/>
      <c r="H54" s="203"/>
      <c r="I54" s="203"/>
      <c r="J54" s="71"/>
      <c r="K54" s="212">
        <v>1</v>
      </c>
      <c r="L54" s="213"/>
      <c r="M54" s="213"/>
      <c r="N54" s="223" t="str">
        <f>VLOOKUP(A54,'[4]Inscripcions'!$A$7:$B$209,2)</f>
        <v>Carles Margalida</v>
      </c>
      <c r="O54" s="223"/>
      <c r="P54" s="223"/>
      <c r="Q54" s="223"/>
      <c r="R54" s="223"/>
      <c r="S54" s="223"/>
      <c r="T54" s="223"/>
      <c r="U54" s="223"/>
      <c r="V54" s="224"/>
      <c r="W54" s="71"/>
      <c r="X54" s="225">
        <f>IF(AA60=0,0,IF(N54=AA60,3,1))+IF(AA62=0,0,IF(N54=AA62,3,1))+IF(AA64=0,0,IF(N54=AA64,3,1))</f>
        <v>9</v>
      </c>
      <c r="Y54" s="226"/>
      <c r="Z54" s="227"/>
      <c r="AA54" s="84" t="str">
        <f>IF(X54&gt;8,"1r",IF(X54&gt;6,"2n",IF(X54&gt;3,"3r",IF(X54&gt;2,"4t",))))</f>
        <v>1r</v>
      </c>
    </row>
    <row r="55" spans="1:27" ht="15.75">
      <c r="A55" s="233">
        <v>10</v>
      </c>
      <c r="B55" s="234"/>
      <c r="C55" s="235"/>
      <c r="D55" s="203"/>
      <c r="E55" s="203"/>
      <c r="F55" s="203"/>
      <c r="G55" s="203"/>
      <c r="H55" s="203"/>
      <c r="I55" s="203"/>
      <c r="J55" s="71"/>
      <c r="K55" s="231">
        <v>2</v>
      </c>
      <c r="L55" s="232"/>
      <c r="M55" s="232"/>
      <c r="N55" s="223" t="str">
        <f>VLOOKUP(A55,'[4]Inscripcions'!$A$7:$B$209,2)</f>
        <v>Ramon Macià</v>
      </c>
      <c r="O55" s="223"/>
      <c r="P55" s="223"/>
      <c r="Q55" s="223"/>
      <c r="R55" s="223"/>
      <c r="S55" s="223"/>
      <c r="T55" s="223"/>
      <c r="U55" s="223"/>
      <c r="V55" s="224"/>
      <c r="W55" s="71"/>
      <c r="X55" s="225">
        <f>IF(AA61=0,0,IF(N55=AA61,3,1))+IF(AA63=0,0,IF(N55=AA63,3,1))+IF(AA64=0,0,IF(N55=AA64,3,1))</f>
        <v>5</v>
      </c>
      <c r="Y55" s="226"/>
      <c r="Z55" s="227"/>
      <c r="AA55" s="83" t="str">
        <f>IF(X55&gt;8,"1r",IF(X55&gt;6,"2n",IF(X55&gt;3,"3r",IF(X55&gt;2,"4t",))))</f>
        <v>3r</v>
      </c>
    </row>
    <row r="56" spans="1:27" ht="15.75">
      <c r="A56" s="233">
        <v>11</v>
      </c>
      <c r="B56" s="234"/>
      <c r="C56" s="235"/>
      <c r="D56" s="203"/>
      <c r="E56" s="203"/>
      <c r="F56" s="203"/>
      <c r="G56" s="203"/>
      <c r="H56" s="203"/>
      <c r="I56" s="203"/>
      <c r="J56" s="71"/>
      <c r="K56" s="231">
        <v>3</v>
      </c>
      <c r="L56" s="232"/>
      <c r="M56" s="232"/>
      <c r="N56" s="223" t="str">
        <f>VLOOKUP(A56,'[4]Inscripcions'!$A$7:$B$209,2)</f>
        <v>Victor Camí</v>
      </c>
      <c r="O56" s="223"/>
      <c r="P56" s="223"/>
      <c r="Q56" s="223"/>
      <c r="R56" s="223"/>
      <c r="S56" s="223"/>
      <c r="T56" s="223"/>
      <c r="U56" s="223"/>
      <c r="V56" s="224"/>
      <c r="W56" s="71"/>
      <c r="X56" s="225">
        <f>IF(AA61=0,0,IF(N56=AA61,3,1))+IF(AA62=0,0,IF(N56=AA62,3,1))+IF(AA65=0,0,IF(N56=AA65,3,1))</f>
        <v>7</v>
      </c>
      <c r="Y56" s="226"/>
      <c r="Z56" s="227"/>
      <c r="AA56" s="83" t="str">
        <f>IF(X56&gt;8,"1r",IF(X56&gt;6,"2n",IF(X56&gt;3,"3r",IF(X56&gt;2,"4t",))))</f>
        <v>2n</v>
      </c>
    </row>
    <row r="57" spans="1:27" ht="16.5" thickBot="1">
      <c r="A57" s="236">
        <v>12</v>
      </c>
      <c r="B57" s="237"/>
      <c r="C57" s="238"/>
      <c r="D57" s="203"/>
      <c r="E57" s="203"/>
      <c r="F57" s="203"/>
      <c r="G57" s="203"/>
      <c r="H57" s="203"/>
      <c r="I57" s="203"/>
      <c r="J57" s="71"/>
      <c r="K57" s="231">
        <v>4</v>
      </c>
      <c r="L57" s="232"/>
      <c r="M57" s="232"/>
      <c r="N57" s="223" t="str">
        <f>VLOOKUP(A57,'[4]Inscripcions'!$A$7:$B$209,2)</f>
        <v>Albert Ribera</v>
      </c>
      <c r="O57" s="223"/>
      <c r="P57" s="223"/>
      <c r="Q57" s="223"/>
      <c r="R57" s="223"/>
      <c r="S57" s="223"/>
      <c r="T57" s="223"/>
      <c r="U57" s="223"/>
      <c r="V57" s="224"/>
      <c r="W57" s="71"/>
      <c r="X57" s="225">
        <f>IF(AA60=0,0,IF(N57=AA60,3,1))+IF(AA63=0,0,IF(N57=AA63,3,1))+IF(AA65=0,0,IF(N57=AA65,3,1))</f>
        <v>3</v>
      </c>
      <c r="Y57" s="226"/>
      <c r="Z57" s="227"/>
      <c r="AA57" s="83" t="str">
        <f>IF(X57&gt;8,"1r",IF(X57&gt;6,"2n",IF(X57&gt;3,"3r",IF(X57&gt;2,"4t",))))</f>
        <v>4t</v>
      </c>
    </row>
    <row r="58" spans="1:27" ht="6.75" customHeight="1" thickBot="1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</row>
    <row r="59" spans="1:27" ht="13.5" customHeight="1" thickBot="1">
      <c r="A59" s="90" t="s">
        <v>11</v>
      </c>
      <c r="B59" s="90" t="s">
        <v>14</v>
      </c>
      <c r="C59" s="90" t="s">
        <v>4</v>
      </c>
      <c r="D59" s="217" t="s">
        <v>3</v>
      </c>
      <c r="E59" s="218"/>
      <c r="F59" s="219"/>
      <c r="G59" s="91"/>
      <c r="H59" s="220" t="s">
        <v>5</v>
      </c>
      <c r="I59" s="221"/>
      <c r="J59" s="222"/>
      <c r="K59" s="220" t="s">
        <v>7</v>
      </c>
      <c r="L59" s="221"/>
      <c r="M59" s="222"/>
      <c r="N59" s="220" t="s">
        <v>8</v>
      </c>
      <c r="O59" s="221"/>
      <c r="P59" s="222"/>
      <c r="Q59" s="220" t="s">
        <v>9</v>
      </c>
      <c r="R59" s="221"/>
      <c r="S59" s="222"/>
      <c r="T59" s="220" t="s">
        <v>10</v>
      </c>
      <c r="U59" s="221"/>
      <c r="V59" s="222"/>
      <c r="W59" s="91"/>
      <c r="X59" s="220" t="s">
        <v>12</v>
      </c>
      <c r="Y59" s="221"/>
      <c r="Z59" s="222"/>
      <c r="AA59" s="90" t="s">
        <v>13</v>
      </c>
    </row>
    <row r="60" spans="1:27" ht="17.25" customHeight="1" thickBot="1">
      <c r="A60" s="185">
        <v>0.5833333333333334</v>
      </c>
      <c r="B60" s="82" t="s">
        <v>17</v>
      </c>
      <c r="C60" s="88">
        <v>3</v>
      </c>
      <c r="D60" s="92">
        <v>1</v>
      </c>
      <c r="E60" s="93" t="s">
        <v>6</v>
      </c>
      <c r="F60" s="94">
        <v>4</v>
      </c>
      <c r="G60" s="91"/>
      <c r="H60" s="95">
        <v>11</v>
      </c>
      <c r="I60" s="74"/>
      <c r="J60" s="96">
        <v>8</v>
      </c>
      <c r="K60" s="95">
        <v>11</v>
      </c>
      <c r="L60" s="74"/>
      <c r="M60" s="96">
        <v>8</v>
      </c>
      <c r="N60" s="95">
        <v>11</v>
      </c>
      <c r="O60" s="74"/>
      <c r="P60" s="96">
        <v>5</v>
      </c>
      <c r="Q60" s="95"/>
      <c r="R60" s="74"/>
      <c r="S60" s="96"/>
      <c r="T60" s="95"/>
      <c r="U60" s="74"/>
      <c r="V60" s="96"/>
      <c r="W60" s="91"/>
      <c r="X60" s="89">
        <f aca="true" t="shared" si="4" ref="X60:X65">IF(H60&gt;J60,1,0)+IF(K60&gt;M60,1,0)+IF(N60&gt;P60,1,0)+IF(Q60&gt;S60,1,0)+IF(T60&gt;V60,1,0)</f>
        <v>3</v>
      </c>
      <c r="Y60" s="74" t="s">
        <v>6</v>
      </c>
      <c r="Z60" s="97">
        <f aca="true" t="shared" si="5" ref="Z60:Z65">IF(H60&lt;J60,1,0)+IF(K60&lt;M60,1,0)+IF(N60&lt;P60,1,0)+IF(Q60&lt;S60,1,0)+IF(T60&lt;V60,1,0)</f>
        <v>0</v>
      </c>
      <c r="AA60" s="98" t="str">
        <f>IF(X60&gt;Z60,N54,IF(X60&lt;Z60,N57,0))</f>
        <v>Carles Margalida</v>
      </c>
    </row>
    <row r="61" spans="1:27" ht="17.25" customHeight="1" thickBot="1">
      <c r="A61" s="195">
        <v>0.5972222222222222</v>
      </c>
      <c r="B61" s="82" t="s">
        <v>17</v>
      </c>
      <c r="C61" s="99">
        <v>1</v>
      </c>
      <c r="D61" s="100">
        <v>2</v>
      </c>
      <c r="E61" s="101" t="s">
        <v>6</v>
      </c>
      <c r="F61" s="87">
        <v>3</v>
      </c>
      <c r="G61" s="71"/>
      <c r="H61" s="95">
        <v>11</v>
      </c>
      <c r="I61" s="74"/>
      <c r="J61" s="96">
        <v>9</v>
      </c>
      <c r="K61" s="95">
        <v>8</v>
      </c>
      <c r="L61" s="74"/>
      <c r="M61" s="96">
        <v>11</v>
      </c>
      <c r="N61" s="95">
        <v>8</v>
      </c>
      <c r="O61" s="74"/>
      <c r="P61" s="96">
        <v>11</v>
      </c>
      <c r="Q61" s="102">
        <v>12</v>
      </c>
      <c r="R61" s="75"/>
      <c r="S61" s="103">
        <v>10</v>
      </c>
      <c r="T61" s="102">
        <v>5</v>
      </c>
      <c r="U61" s="75"/>
      <c r="V61" s="103">
        <v>11</v>
      </c>
      <c r="W61" s="73"/>
      <c r="X61" s="89">
        <f t="shared" si="4"/>
        <v>2</v>
      </c>
      <c r="Y61" s="75" t="s">
        <v>6</v>
      </c>
      <c r="Z61" s="97">
        <f t="shared" si="5"/>
        <v>3</v>
      </c>
      <c r="AA61" s="104" t="str">
        <f>IF(X61&gt;Z61,N55,IF(X61&lt;Z61,N56,0))</f>
        <v>Victor Camí</v>
      </c>
    </row>
    <row r="62" spans="1:27" ht="18" customHeight="1" thickBot="1">
      <c r="A62" s="195">
        <v>0.611111111111111</v>
      </c>
      <c r="B62" s="82" t="s">
        <v>17</v>
      </c>
      <c r="C62" s="88">
        <v>4</v>
      </c>
      <c r="D62" s="92">
        <v>1</v>
      </c>
      <c r="E62" s="93" t="s">
        <v>6</v>
      </c>
      <c r="F62" s="94">
        <v>3</v>
      </c>
      <c r="G62" s="91"/>
      <c r="H62" s="95">
        <v>8</v>
      </c>
      <c r="I62" s="74"/>
      <c r="J62" s="96">
        <v>11</v>
      </c>
      <c r="K62" s="95">
        <v>11</v>
      </c>
      <c r="L62" s="74"/>
      <c r="M62" s="96">
        <v>7</v>
      </c>
      <c r="N62" s="95">
        <v>8</v>
      </c>
      <c r="O62" s="74"/>
      <c r="P62" s="96">
        <v>11</v>
      </c>
      <c r="Q62" s="95">
        <v>11</v>
      </c>
      <c r="R62" s="74"/>
      <c r="S62" s="96">
        <v>2</v>
      </c>
      <c r="T62" s="95">
        <v>11</v>
      </c>
      <c r="U62" s="74"/>
      <c r="V62" s="96">
        <v>4</v>
      </c>
      <c r="W62" s="91"/>
      <c r="X62" s="89">
        <f t="shared" si="4"/>
        <v>3</v>
      </c>
      <c r="Y62" s="74" t="s">
        <v>6</v>
      </c>
      <c r="Z62" s="97">
        <f t="shared" si="5"/>
        <v>2</v>
      </c>
      <c r="AA62" s="98" t="str">
        <f>IF(X62&gt;Z62,N54,IF(X62&lt;Z62,N56,0))</f>
        <v>Carles Margalida</v>
      </c>
    </row>
    <row r="63" spans="1:27" ht="17.25" customHeight="1" thickBot="1">
      <c r="A63" s="185">
        <v>0.625</v>
      </c>
      <c r="B63" s="82" t="s">
        <v>17</v>
      </c>
      <c r="C63" s="99">
        <v>3</v>
      </c>
      <c r="D63" s="100">
        <v>2</v>
      </c>
      <c r="E63" s="101" t="s">
        <v>6</v>
      </c>
      <c r="F63" s="87">
        <v>4</v>
      </c>
      <c r="G63" s="71"/>
      <c r="H63" s="95">
        <v>11</v>
      </c>
      <c r="I63" s="74"/>
      <c r="J63" s="96">
        <v>6</v>
      </c>
      <c r="K63" s="95">
        <v>10</v>
      </c>
      <c r="L63" s="74"/>
      <c r="M63" s="96">
        <v>12</v>
      </c>
      <c r="N63" s="95">
        <v>11</v>
      </c>
      <c r="O63" s="74"/>
      <c r="P63" s="96">
        <v>8</v>
      </c>
      <c r="Q63" s="102">
        <v>7</v>
      </c>
      <c r="R63" s="75"/>
      <c r="S63" s="103">
        <v>11</v>
      </c>
      <c r="T63" s="102">
        <v>14</v>
      </c>
      <c r="U63" s="75"/>
      <c r="V63" s="103">
        <v>12</v>
      </c>
      <c r="W63" s="73"/>
      <c r="X63" s="89">
        <f t="shared" si="4"/>
        <v>3</v>
      </c>
      <c r="Y63" s="75" t="s">
        <v>6</v>
      </c>
      <c r="Z63" s="97">
        <f t="shared" si="5"/>
        <v>2</v>
      </c>
      <c r="AA63" s="104" t="str">
        <f>IF(X63&gt;Z63,N55,IF(X63&lt;Z63,N57,0))</f>
        <v>Ramon Macià</v>
      </c>
    </row>
    <row r="64" spans="1:27" ht="17.25" customHeight="1" thickBot="1">
      <c r="A64" s="195">
        <v>0.638888888888889</v>
      </c>
      <c r="B64" s="82" t="s">
        <v>17</v>
      </c>
      <c r="C64" s="88">
        <v>4</v>
      </c>
      <c r="D64" s="92">
        <v>1</v>
      </c>
      <c r="E64" s="93" t="s">
        <v>6</v>
      </c>
      <c r="F64" s="94">
        <v>2</v>
      </c>
      <c r="G64" s="91"/>
      <c r="H64" s="95">
        <v>11</v>
      </c>
      <c r="I64" s="74"/>
      <c r="J64" s="96">
        <v>7</v>
      </c>
      <c r="K64" s="95">
        <v>11</v>
      </c>
      <c r="L64" s="74"/>
      <c r="M64" s="96">
        <v>7</v>
      </c>
      <c r="N64" s="95">
        <v>7</v>
      </c>
      <c r="O64" s="74"/>
      <c r="P64" s="96">
        <v>11</v>
      </c>
      <c r="Q64" s="95">
        <v>11</v>
      </c>
      <c r="R64" s="74"/>
      <c r="S64" s="96">
        <v>8</v>
      </c>
      <c r="T64" s="95"/>
      <c r="U64" s="74"/>
      <c r="V64" s="96"/>
      <c r="W64" s="91"/>
      <c r="X64" s="89">
        <f t="shared" si="4"/>
        <v>3</v>
      </c>
      <c r="Y64" s="74" t="s">
        <v>6</v>
      </c>
      <c r="Z64" s="97">
        <f t="shared" si="5"/>
        <v>1</v>
      </c>
      <c r="AA64" s="98" t="str">
        <f>IF(X64&gt;Z64,N54,IF(X64&lt;Z64,N55,0))</f>
        <v>Carles Margalida</v>
      </c>
    </row>
    <row r="65" spans="1:27" ht="18" customHeight="1" thickBot="1">
      <c r="A65" s="185">
        <v>0.6527777777777778</v>
      </c>
      <c r="B65" s="82" t="s">
        <v>17</v>
      </c>
      <c r="C65" s="99">
        <v>2</v>
      </c>
      <c r="D65" s="100">
        <v>3</v>
      </c>
      <c r="E65" s="101" t="s">
        <v>6</v>
      </c>
      <c r="F65" s="87">
        <v>4</v>
      </c>
      <c r="G65" s="71"/>
      <c r="H65" s="95">
        <v>11</v>
      </c>
      <c r="I65" s="74"/>
      <c r="J65" s="96">
        <v>6</v>
      </c>
      <c r="K65" s="95">
        <v>11</v>
      </c>
      <c r="L65" s="74"/>
      <c r="M65" s="96">
        <v>8</v>
      </c>
      <c r="N65" s="95">
        <v>11</v>
      </c>
      <c r="O65" s="74"/>
      <c r="P65" s="96">
        <v>8</v>
      </c>
      <c r="Q65" s="105"/>
      <c r="R65" s="76"/>
      <c r="S65" s="106"/>
      <c r="T65" s="105"/>
      <c r="U65" s="76"/>
      <c r="V65" s="106"/>
      <c r="W65" s="73"/>
      <c r="X65" s="107">
        <f t="shared" si="4"/>
        <v>3</v>
      </c>
      <c r="Y65" s="76" t="s">
        <v>6</v>
      </c>
      <c r="Z65" s="108">
        <f t="shared" si="5"/>
        <v>0</v>
      </c>
      <c r="AA65" s="109" t="str">
        <f>IF(X65&gt;Z65,N56,IF(X65&lt;Z65,N57,0))</f>
        <v>Victor Camí</v>
      </c>
    </row>
    <row r="66" spans="1:27" ht="15.75" thickBot="1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</row>
    <row r="67" spans="1:27" ht="6.75" customHeight="1" thickBot="1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</row>
    <row r="68" spans="1:27" ht="16.5" thickBot="1">
      <c r="A68" s="86" t="s">
        <v>36</v>
      </c>
      <c r="B68" s="87">
        <v>4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</row>
    <row r="69" spans="1:27" ht="6.75" customHeight="1" thickBot="1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</row>
    <row r="70" spans="1:27" ht="16.5" thickBot="1">
      <c r="A70" s="228" t="s">
        <v>0</v>
      </c>
      <c r="B70" s="229"/>
      <c r="C70" s="230"/>
      <c r="D70" s="203"/>
      <c r="E70" s="203"/>
      <c r="F70" s="71"/>
      <c r="G70" s="71"/>
      <c r="H70" s="71"/>
      <c r="I70" s="71"/>
      <c r="J70" s="71"/>
      <c r="K70" s="228" t="s">
        <v>2</v>
      </c>
      <c r="L70" s="229"/>
      <c r="M70" s="229"/>
      <c r="N70" s="229" t="s">
        <v>1</v>
      </c>
      <c r="O70" s="229"/>
      <c r="P70" s="229"/>
      <c r="Q70" s="229"/>
      <c r="R70" s="229"/>
      <c r="S70" s="229"/>
      <c r="T70" s="229"/>
      <c r="U70" s="229"/>
      <c r="V70" s="230"/>
      <c r="W70" s="71"/>
      <c r="X70" s="214" t="s">
        <v>35</v>
      </c>
      <c r="Y70" s="215"/>
      <c r="Z70" s="216"/>
      <c r="AA70" s="88" t="s">
        <v>38</v>
      </c>
    </row>
    <row r="71" spans="1:27" ht="15.75">
      <c r="A71" s="209">
        <v>13</v>
      </c>
      <c r="B71" s="210"/>
      <c r="C71" s="211"/>
      <c r="D71" s="203"/>
      <c r="E71" s="203"/>
      <c r="F71" s="203"/>
      <c r="G71" s="203"/>
      <c r="H71" s="203"/>
      <c r="I71" s="203"/>
      <c r="J71" s="71"/>
      <c r="K71" s="212">
        <v>1</v>
      </c>
      <c r="L71" s="213"/>
      <c r="M71" s="213"/>
      <c r="N71" s="223" t="str">
        <f>VLOOKUP(A71,'[4]Inscripcions'!$A$7:$B$209,2)</f>
        <v>Jordi Fontanet</v>
      </c>
      <c r="O71" s="223"/>
      <c r="P71" s="223"/>
      <c r="Q71" s="223"/>
      <c r="R71" s="223"/>
      <c r="S71" s="223"/>
      <c r="T71" s="223"/>
      <c r="U71" s="223"/>
      <c r="V71" s="224"/>
      <c r="W71" s="71"/>
      <c r="X71" s="225">
        <f>IF(AA77=0,0,IF(N71=AA77,3,1))+IF(AA79=0,0,IF(N71=AA79,3,1))+IF(AA81=0,0,IF(N71=AA81,3,1))</f>
        <v>7</v>
      </c>
      <c r="Y71" s="226"/>
      <c r="Z71" s="227"/>
      <c r="AA71" s="84" t="str">
        <f>IF(X71&gt;8,"1r",IF(X71&gt;6,"2n",IF(X71&gt;3,"3r",IF(X71&gt;2,"4t",))))</f>
        <v>2n</v>
      </c>
    </row>
    <row r="72" spans="1:27" ht="15.75">
      <c r="A72" s="233">
        <v>14</v>
      </c>
      <c r="B72" s="234"/>
      <c r="C72" s="235"/>
      <c r="D72" s="203"/>
      <c r="E72" s="203"/>
      <c r="F72" s="203"/>
      <c r="G72" s="203"/>
      <c r="H72" s="203"/>
      <c r="I72" s="203"/>
      <c r="J72" s="71"/>
      <c r="K72" s="231">
        <v>2</v>
      </c>
      <c r="L72" s="232"/>
      <c r="M72" s="232"/>
      <c r="N72" s="223" t="str">
        <f>VLOOKUP(A72,'[4]Inscripcions'!$A$7:$B$209,2)</f>
        <v>David Subirà</v>
      </c>
      <c r="O72" s="223"/>
      <c r="P72" s="223"/>
      <c r="Q72" s="223"/>
      <c r="R72" s="223"/>
      <c r="S72" s="223"/>
      <c r="T72" s="223"/>
      <c r="U72" s="223"/>
      <c r="V72" s="224"/>
      <c r="W72" s="71"/>
      <c r="X72" s="225">
        <f>IF(AA78=0,0,IF(N72=AA78,3,1))+IF(AA80=0,0,IF(N72=AA80,3,1))+IF(AA81=0,0,IF(N72=AA81,3,1))</f>
        <v>5</v>
      </c>
      <c r="Y72" s="226"/>
      <c r="Z72" s="227"/>
      <c r="AA72" s="83" t="str">
        <f>IF(X72&gt;8,"1r",IF(X72&gt;6,"2n",IF(X72&gt;3,"3r",IF(X72&gt;2,"4t",))))</f>
        <v>3r</v>
      </c>
    </row>
    <row r="73" spans="1:27" ht="15.75">
      <c r="A73" s="233">
        <v>15</v>
      </c>
      <c r="B73" s="234"/>
      <c r="C73" s="235"/>
      <c r="D73" s="203"/>
      <c r="E73" s="203"/>
      <c r="F73" s="203"/>
      <c r="G73" s="203"/>
      <c r="H73" s="203"/>
      <c r="I73" s="203"/>
      <c r="J73" s="71"/>
      <c r="K73" s="231">
        <v>3</v>
      </c>
      <c r="L73" s="232"/>
      <c r="M73" s="232"/>
      <c r="N73" s="223" t="str">
        <f>VLOOKUP(A73,'[4]Inscripcions'!$A$7:$B$209,2)</f>
        <v>Albert Feliu</v>
      </c>
      <c r="O73" s="223"/>
      <c r="P73" s="223"/>
      <c r="Q73" s="223"/>
      <c r="R73" s="223"/>
      <c r="S73" s="223"/>
      <c r="T73" s="223"/>
      <c r="U73" s="223"/>
      <c r="V73" s="224"/>
      <c r="W73" s="71"/>
      <c r="X73" s="225">
        <f>IF(AA78=0,0,IF(N73=AA78,3,1))+IF(AA79=0,0,IF(N73=AA79,3,1))+IF(AA82=0,0,IF(N73=AA82,3,1))</f>
        <v>9</v>
      </c>
      <c r="Y73" s="226"/>
      <c r="Z73" s="227"/>
      <c r="AA73" s="83" t="str">
        <f>IF(X73&gt;8,"1r",IF(X73&gt;6,"2n",IF(X73&gt;3,"3r",IF(X73&gt;2,"4t",))))</f>
        <v>1r</v>
      </c>
    </row>
    <row r="74" spans="1:27" ht="16.5" thickBot="1">
      <c r="A74" s="236">
        <v>16</v>
      </c>
      <c r="B74" s="237"/>
      <c r="C74" s="238"/>
      <c r="D74" s="203"/>
      <c r="E74" s="203"/>
      <c r="F74" s="203"/>
      <c r="G74" s="203"/>
      <c r="H74" s="203"/>
      <c r="I74" s="203"/>
      <c r="J74" s="71"/>
      <c r="K74" s="231">
        <v>4</v>
      </c>
      <c r="L74" s="232"/>
      <c r="M74" s="232"/>
      <c r="N74" s="223" t="str">
        <f>VLOOKUP(A74,'[4]Inscripcions'!$A$7:$B$209,2)</f>
        <v>Alex Carrera</v>
      </c>
      <c r="O74" s="223"/>
      <c r="P74" s="223"/>
      <c r="Q74" s="223"/>
      <c r="R74" s="223"/>
      <c r="S74" s="223"/>
      <c r="T74" s="223"/>
      <c r="U74" s="223"/>
      <c r="V74" s="224"/>
      <c r="W74" s="71"/>
      <c r="X74" s="225">
        <f>IF(AA77=0,0,IF(N74=AA77,3,1))+IF(AA80=0,0,IF(N74=AA80,3,1))+IF(AA82=0,0,IF(N74=AA82,3,1))</f>
        <v>3</v>
      </c>
      <c r="Y74" s="226"/>
      <c r="Z74" s="227"/>
      <c r="AA74" s="83" t="str">
        <f>IF(X74&gt;8,"1r",IF(X74&gt;6,"2n",IF(X74&gt;3,"3r",IF(X74&gt;2,"4t",))))</f>
        <v>4t</v>
      </c>
    </row>
    <row r="75" spans="1:27" ht="6.75" customHeight="1" thickBot="1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</row>
    <row r="76" spans="1:27" ht="13.5" customHeight="1" thickBot="1">
      <c r="A76" s="90" t="s">
        <v>11</v>
      </c>
      <c r="B76" s="90" t="s">
        <v>14</v>
      </c>
      <c r="C76" s="90" t="s">
        <v>4</v>
      </c>
      <c r="D76" s="217" t="s">
        <v>3</v>
      </c>
      <c r="E76" s="218"/>
      <c r="F76" s="219"/>
      <c r="G76" s="91"/>
      <c r="H76" s="220" t="s">
        <v>5</v>
      </c>
      <c r="I76" s="221"/>
      <c r="J76" s="222"/>
      <c r="K76" s="220" t="s">
        <v>7</v>
      </c>
      <c r="L76" s="221"/>
      <c r="M76" s="222"/>
      <c r="N76" s="220" t="s">
        <v>8</v>
      </c>
      <c r="O76" s="221"/>
      <c r="P76" s="222"/>
      <c r="Q76" s="220" t="s">
        <v>9</v>
      </c>
      <c r="R76" s="221"/>
      <c r="S76" s="222"/>
      <c r="T76" s="220" t="s">
        <v>10</v>
      </c>
      <c r="U76" s="221"/>
      <c r="V76" s="222"/>
      <c r="W76" s="91"/>
      <c r="X76" s="220" t="s">
        <v>12</v>
      </c>
      <c r="Y76" s="221"/>
      <c r="Z76" s="222"/>
      <c r="AA76" s="90" t="s">
        <v>13</v>
      </c>
    </row>
    <row r="77" spans="1:27" ht="17.25" customHeight="1" thickBot="1">
      <c r="A77" s="185">
        <v>0.5833333333333334</v>
      </c>
      <c r="B77" s="82" t="s">
        <v>18</v>
      </c>
      <c r="C77" s="88">
        <v>3</v>
      </c>
      <c r="D77" s="92">
        <v>1</v>
      </c>
      <c r="E77" s="93" t="s">
        <v>6</v>
      </c>
      <c r="F77" s="94">
        <v>4</v>
      </c>
      <c r="G77" s="91"/>
      <c r="H77" s="95">
        <v>11</v>
      </c>
      <c r="I77" s="74"/>
      <c r="J77" s="96">
        <v>0</v>
      </c>
      <c r="K77" s="95">
        <v>11</v>
      </c>
      <c r="L77" s="74"/>
      <c r="M77" s="96">
        <v>0</v>
      </c>
      <c r="N77" s="95">
        <v>11</v>
      </c>
      <c r="O77" s="74"/>
      <c r="P77" s="96">
        <v>0</v>
      </c>
      <c r="Q77" s="95"/>
      <c r="R77" s="74"/>
      <c r="S77" s="96"/>
      <c r="T77" s="95"/>
      <c r="U77" s="74"/>
      <c r="V77" s="96"/>
      <c r="W77" s="91"/>
      <c r="X77" s="89">
        <f aca="true" t="shared" si="6" ref="X77:X82">IF(H77&gt;J77,1,0)+IF(K77&gt;M77,1,0)+IF(N77&gt;P77,1,0)+IF(Q77&gt;S77,1,0)+IF(T77&gt;V77,1,0)</f>
        <v>3</v>
      </c>
      <c r="Y77" s="74" t="s">
        <v>6</v>
      </c>
      <c r="Z77" s="97">
        <f aca="true" t="shared" si="7" ref="Z77:Z82">IF(H77&lt;J77,1,0)+IF(K77&lt;M77,1,0)+IF(N77&lt;P77,1,0)+IF(Q77&lt;S77,1,0)+IF(T77&lt;V77,1,0)</f>
        <v>0</v>
      </c>
      <c r="AA77" s="98" t="str">
        <f>IF(X77&gt;Z77,N71,IF(X77&lt;Z77,N74,0))</f>
        <v>Jordi Fontanet</v>
      </c>
    </row>
    <row r="78" spans="1:27" ht="20.25" customHeight="1" thickBot="1">
      <c r="A78" s="195">
        <v>0.5972222222222222</v>
      </c>
      <c r="B78" s="82" t="s">
        <v>18</v>
      </c>
      <c r="C78" s="99">
        <v>4</v>
      </c>
      <c r="D78" s="100">
        <v>2</v>
      </c>
      <c r="E78" s="101" t="s">
        <v>6</v>
      </c>
      <c r="F78" s="87">
        <v>3</v>
      </c>
      <c r="G78" s="71"/>
      <c r="H78" s="95">
        <v>5</v>
      </c>
      <c r="I78" s="74"/>
      <c r="J78" s="96">
        <v>11</v>
      </c>
      <c r="K78" s="95">
        <v>10</v>
      </c>
      <c r="L78" s="74"/>
      <c r="M78" s="96">
        <v>12</v>
      </c>
      <c r="N78" s="95">
        <v>8</v>
      </c>
      <c r="O78" s="74"/>
      <c r="P78" s="96">
        <v>11</v>
      </c>
      <c r="Q78" s="102"/>
      <c r="R78" s="75"/>
      <c r="S78" s="103"/>
      <c r="T78" s="102"/>
      <c r="U78" s="75"/>
      <c r="V78" s="103"/>
      <c r="W78" s="73"/>
      <c r="X78" s="89">
        <f t="shared" si="6"/>
        <v>0</v>
      </c>
      <c r="Y78" s="75" t="s">
        <v>6</v>
      </c>
      <c r="Z78" s="97">
        <f t="shared" si="7"/>
        <v>3</v>
      </c>
      <c r="AA78" s="104" t="str">
        <f>IF(X78&gt;Z78,N72,IF(X78&lt;Z78,N73,0))</f>
        <v>Albert Feliu</v>
      </c>
    </row>
    <row r="79" spans="1:27" ht="17.25" customHeight="1" thickBot="1">
      <c r="A79" s="195">
        <v>0.611111111111111</v>
      </c>
      <c r="B79" s="82" t="s">
        <v>18</v>
      </c>
      <c r="C79" s="88">
        <v>2</v>
      </c>
      <c r="D79" s="92">
        <v>1</v>
      </c>
      <c r="E79" s="93" t="s">
        <v>6</v>
      </c>
      <c r="F79" s="94">
        <v>3</v>
      </c>
      <c r="G79" s="91"/>
      <c r="H79" s="95">
        <v>11</v>
      </c>
      <c r="I79" s="74"/>
      <c r="J79" s="96">
        <v>8</v>
      </c>
      <c r="K79" s="95">
        <v>9</v>
      </c>
      <c r="L79" s="74"/>
      <c r="M79" s="96">
        <v>11</v>
      </c>
      <c r="N79" s="95">
        <v>7</v>
      </c>
      <c r="O79" s="74"/>
      <c r="P79" s="96">
        <v>11</v>
      </c>
      <c r="Q79" s="95">
        <v>11</v>
      </c>
      <c r="R79" s="74"/>
      <c r="S79" s="96">
        <v>3</v>
      </c>
      <c r="T79" s="95">
        <v>6</v>
      </c>
      <c r="U79" s="74"/>
      <c r="V79" s="96">
        <v>11</v>
      </c>
      <c r="W79" s="91"/>
      <c r="X79" s="89">
        <f t="shared" si="6"/>
        <v>2</v>
      </c>
      <c r="Y79" s="74" t="s">
        <v>6</v>
      </c>
      <c r="Z79" s="97">
        <f t="shared" si="7"/>
        <v>3</v>
      </c>
      <c r="AA79" s="98" t="str">
        <f>IF(X79&gt;Z79,N71,IF(X79&lt;Z79,N73,0))</f>
        <v>Albert Feliu</v>
      </c>
    </row>
    <row r="80" spans="1:27" ht="16.5" customHeight="1" thickBot="1">
      <c r="A80" s="185">
        <v>0.625</v>
      </c>
      <c r="B80" s="82" t="s">
        <v>18</v>
      </c>
      <c r="C80" s="99">
        <v>3</v>
      </c>
      <c r="D80" s="100">
        <v>2</v>
      </c>
      <c r="E80" s="101" t="s">
        <v>6</v>
      </c>
      <c r="F80" s="87">
        <v>4</v>
      </c>
      <c r="G80" s="71"/>
      <c r="H80" s="95">
        <v>11</v>
      </c>
      <c r="I80" s="74"/>
      <c r="J80" s="96">
        <v>0</v>
      </c>
      <c r="K80" s="95">
        <v>11</v>
      </c>
      <c r="L80" s="74"/>
      <c r="M80" s="96">
        <v>0</v>
      </c>
      <c r="N80" s="95">
        <v>11</v>
      </c>
      <c r="O80" s="74"/>
      <c r="P80" s="96">
        <v>0</v>
      </c>
      <c r="Q80" s="102"/>
      <c r="R80" s="75"/>
      <c r="S80" s="103"/>
      <c r="T80" s="102"/>
      <c r="U80" s="75"/>
      <c r="V80" s="103"/>
      <c r="W80" s="73"/>
      <c r="X80" s="89">
        <f t="shared" si="6"/>
        <v>3</v>
      </c>
      <c r="Y80" s="75" t="s">
        <v>6</v>
      </c>
      <c r="Z80" s="97">
        <f t="shared" si="7"/>
        <v>0</v>
      </c>
      <c r="AA80" s="104" t="str">
        <f>IF(X80&gt;Z80,N72,IF(X80&lt;Z80,N74,0))</f>
        <v>David Subirà</v>
      </c>
    </row>
    <row r="81" spans="1:27" ht="16.5" customHeight="1" thickBot="1">
      <c r="A81" s="195">
        <v>0.638888888888889</v>
      </c>
      <c r="B81" s="82" t="s">
        <v>18</v>
      </c>
      <c r="C81" s="88">
        <v>4</v>
      </c>
      <c r="D81" s="92">
        <v>1</v>
      </c>
      <c r="E81" s="93" t="s">
        <v>6</v>
      </c>
      <c r="F81" s="94">
        <v>2</v>
      </c>
      <c r="G81" s="91"/>
      <c r="H81" s="95">
        <v>11</v>
      </c>
      <c r="I81" s="74"/>
      <c r="J81" s="96">
        <v>9</v>
      </c>
      <c r="K81" s="95">
        <v>11</v>
      </c>
      <c r="L81" s="74"/>
      <c r="M81" s="96">
        <v>3</v>
      </c>
      <c r="N81" s="95">
        <v>11</v>
      </c>
      <c r="O81" s="74"/>
      <c r="P81" s="96">
        <v>9</v>
      </c>
      <c r="Q81" s="95"/>
      <c r="R81" s="74"/>
      <c r="S81" s="96"/>
      <c r="T81" s="95"/>
      <c r="U81" s="74"/>
      <c r="V81" s="96"/>
      <c r="W81" s="91"/>
      <c r="X81" s="89">
        <f t="shared" si="6"/>
        <v>3</v>
      </c>
      <c r="Y81" s="74" t="s">
        <v>6</v>
      </c>
      <c r="Z81" s="97">
        <f t="shared" si="7"/>
        <v>0</v>
      </c>
      <c r="AA81" s="98" t="str">
        <f>IF(X81&gt;Z81,N71,IF(X81&lt;Z81,N72,0))</f>
        <v>Jordi Fontanet</v>
      </c>
    </row>
    <row r="82" spans="1:27" ht="17.25" customHeight="1" thickBot="1">
      <c r="A82" s="185">
        <v>0.6527777777777778</v>
      </c>
      <c r="B82" s="82" t="s">
        <v>18</v>
      </c>
      <c r="C82" s="99">
        <v>2</v>
      </c>
      <c r="D82" s="100">
        <v>3</v>
      </c>
      <c r="E82" s="101" t="s">
        <v>6</v>
      </c>
      <c r="F82" s="87">
        <v>4</v>
      </c>
      <c r="G82" s="71"/>
      <c r="H82" s="95">
        <v>11</v>
      </c>
      <c r="I82" s="74"/>
      <c r="J82" s="96">
        <v>0</v>
      </c>
      <c r="K82" s="95">
        <v>11</v>
      </c>
      <c r="L82" s="74"/>
      <c r="M82" s="96">
        <v>0</v>
      </c>
      <c r="N82" s="95">
        <v>11</v>
      </c>
      <c r="O82" s="74"/>
      <c r="P82" s="96">
        <v>0</v>
      </c>
      <c r="Q82" s="105"/>
      <c r="R82" s="76"/>
      <c r="S82" s="106"/>
      <c r="T82" s="105"/>
      <c r="U82" s="76"/>
      <c r="V82" s="106"/>
      <c r="W82" s="73"/>
      <c r="X82" s="107">
        <f t="shared" si="6"/>
        <v>3</v>
      </c>
      <c r="Y82" s="76" t="s">
        <v>6</v>
      </c>
      <c r="Z82" s="108">
        <f t="shared" si="7"/>
        <v>0</v>
      </c>
      <c r="AA82" s="109" t="str">
        <f>IF(X82&gt;Z82,N73,IF(X82&lt;Z82,N74,0))</f>
        <v>Albert Feliu</v>
      </c>
    </row>
    <row r="83" spans="1:27" ht="17.25" customHeight="1">
      <c r="A83" s="196"/>
      <c r="B83" s="197"/>
      <c r="C83" s="198"/>
      <c r="D83" s="198"/>
      <c r="E83" s="198"/>
      <c r="F83" s="198"/>
      <c r="G83" s="71"/>
      <c r="H83" s="197"/>
      <c r="I83" s="77"/>
      <c r="J83" s="197"/>
      <c r="K83" s="197"/>
      <c r="L83" s="77"/>
      <c r="M83" s="197"/>
      <c r="N83" s="197"/>
      <c r="O83" s="77"/>
      <c r="P83" s="197"/>
      <c r="Q83" s="197"/>
      <c r="R83" s="77"/>
      <c r="S83" s="197"/>
      <c r="T83" s="197"/>
      <c r="U83" s="77"/>
      <c r="V83" s="197"/>
      <c r="W83" s="73"/>
      <c r="X83" s="199"/>
      <c r="Y83" s="77"/>
      <c r="Z83" s="199"/>
      <c r="AA83" s="199"/>
    </row>
    <row r="84" spans="1:27" ht="15.75" thickBot="1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</row>
    <row r="85" spans="1:27" ht="6.75" customHeight="1" thickBot="1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</row>
    <row r="86" spans="1:27" ht="16.5" thickBot="1">
      <c r="A86" s="86" t="s">
        <v>36</v>
      </c>
      <c r="B86" s="87">
        <v>5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</row>
    <row r="87" spans="1:27" ht="6.75" customHeight="1" thickBot="1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</row>
    <row r="88" spans="1:27" ht="16.5" thickBot="1">
      <c r="A88" s="228" t="s">
        <v>0</v>
      </c>
      <c r="B88" s="229"/>
      <c r="C88" s="230"/>
      <c r="D88" s="203"/>
      <c r="E88" s="203"/>
      <c r="F88" s="71"/>
      <c r="G88" s="71"/>
      <c r="H88" s="71"/>
      <c r="I88" s="71"/>
      <c r="J88" s="71"/>
      <c r="K88" s="228" t="s">
        <v>2</v>
      </c>
      <c r="L88" s="229"/>
      <c r="M88" s="229"/>
      <c r="N88" s="229" t="s">
        <v>1</v>
      </c>
      <c r="O88" s="229"/>
      <c r="P88" s="229"/>
      <c r="Q88" s="229"/>
      <c r="R88" s="229"/>
      <c r="S88" s="229"/>
      <c r="T88" s="229"/>
      <c r="U88" s="229"/>
      <c r="V88" s="230"/>
      <c r="W88" s="71"/>
      <c r="X88" s="214" t="s">
        <v>35</v>
      </c>
      <c r="Y88" s="215"/>
      <c r="Z88" s="216"/>
      <c r="AA88" s="88" t="s">
        <v>38</v>
      </c>
    </row>
    <row r="89" spans="1:27" ht="15.75">
      <c r="A89" s="209">
        <v>17</v>
      </c>
      <c r="B89" s="210"/>
      <c r="C89" s="211"/>
      <c r="D89" s="203"/>
      <c r="E89" s="203"/>
      <c r="F89" s="203"/>
      <c r="G89" s="203"/>
      <c r="H89" s="203"/>
      <c r="I89" s="203"/>
      <c r="J89" s="71"/>
      <c r="K89" s="212">
        <v>1</v>
      </c>
      <c r="L89" s="213"/>
      <c r="M89" s="213"/>
      <c r="N89" s="223" t="str">
        <f>VLOOKUP(A89,'[4]Inscripcions'!$A$7:$B$209,2)</f>
        <v>Francesc Solans</v>
      </c>
      <c r="O89" s="223"/>
      <c r="P89" s="223"/>
      <c r="Q89" s="223"/>
      <c r="R89" s="223"/>
      <c r="S89" s="223"/>
      <c r="T89" s="223"/>
      <c r="U89" s="223"/>
      <c r="V89" s="224"/>
      <c r="W89" s="71"/>
      <c r="X89" s="225">
        <f>IF(AA95=0,0,IF(N89=AA95,3,1))+IF(AA97=0,0,IF(N89=AA97,3,1))+IF(AA99=0,0,IF(N89=AA99,3,1))</f>
        <v>7</v>
      </c>
      <c r="Y89" s="226"/>
      <c r="Z89" s="227"/>
      <c r="AA89" s="84" t="str">
        <f>IF(X89&gt;8,"1r",IF(X89&gt;6,"2n",IF(X89&gt;3,"3r",IF(X89&gt;2,"4t",))))</f>
        <v>2n</v>
      </c>
    </row>
    <row r="90" spans="1:27" ht="15.75">
      <c r="A90" s="233">
        <v>18</v>
      </c>
      <c r="B90" s="234"/>
      <c r="C90" s="235"/>
      <c r="D90" s="203"/>
      <c r="E90" s="203"/>
      <c r="F90" s="203"/>
      <c r="G90" s="203"/>
      <c r="H90" s="203"/>
      <c r="I90" s="203"/>
      <c r="J90" s="71"/>
      <c r="K90" s="231">
        <v>2</v>
      </c>
      <c r="L90" s="232"/>
      <c r="M90" s="232"/>
      <c r="N90" s="223" t="str">
        <f>VLOOKUP(A90,'[4]Inscripcions'!$A$7:$B$209,2)</f>
        <v>David Arregui</v>
      </c>
      <c r="O90" s="223"/>
      <c r="P90" s="223"/>
      <c r="Q90" s="223"/>
      <c r="R90" s="223"/>
      <c r="S90" s="223"/>
      <c r="T90" s="223"/>
      <c r="U90" s="223"/>
      <c r="V90" s="224"/>
      <c r="W90" s="71"/>
      <c r="X90" s="225">
        <f>IF(AA96=0,0,IF(N90=AA96,3,1))+IF(AA98=0,0,IF(N90=AA98,3,1))+IF(AA99=0,0,IF(N90=AA99,3,1))</f>
        <v>7</v>
      </c>
      <c r="Y90" s="226"/>
      <c r="Z90" s="227"/>
      <c r="AA90" s="83" t="s">
        <v>270</v>
      </c>
    </row>
    <row r="91" spans="1:27" ht="15.75">
      <c r="A91" s="233">
        <v>19</v>
      </c>
      <c r="B91" s="234"/>
      <c r="C91" s="235"/>
      <c r="D91" s="203"/>
      <c r="E91" s="203"/>
      <c r="F91" s="203"/>
      <c r="G91" s="203"/>
      <c r="H91" s="203"/>
      <c r="I91" s="203"/>
      <c r="J91" s="71"/>
      <c r="K91" s="231">
        <v>3</v>
      </c>
      <c r="L91" s="232"/>
      <c r="M91" s="232"/>
      <c r="N91" s="223" t="str">
        <f>VLOOKUP(A91,'[4]Inscripcions'!$A$7:$B$209,2)</f>
        <v>Lluís Torné</v>
      </c>
      <c r="O91" s="223"/>
      <c r="P91" s="223"/>
      <c r="Q91" s="223"/>
      <c r="R91" s="223"/>
      <c r="S91" s="223"/>
      <c r="T91" s="223"/>
      <c r="U91" s="223"/>
      <c r="V91" s="224"/>
      <c r="W91" s="71"/>
      <c r="X91" s="225">
        <f>IF(AA96=0,0,IF(N91=AA96,3,1))+IF(AA97=0,0,IF(N91=AA97,3,1))+IF(AA100=0,0,IF(N91=AA100,3,1))</f>
        <v>7</v>
      </c>
      <c r="Y91" s="226"/>
      <c r="Z91" s="227"/>
      <c r="AA91" s="83" t="s">
        <v>272</v>
      </c>
    </row>
    <row r="92" spans="1:27" ht="16.5" thickBot="1">
      <c r="A92" s="236">
        <v>20</v>
      </c>
      <c r="B92" s="237"/>
      <c r="C92" s="238"/>
      <c r="D92" s="203"/>
      <c r="E92" s="203"/>
      <c r="F92" s="203"/>
      <c r="G92" s="203"/>
      <c r="H92" s="203"/>
      <c r="I92" s="203"/>
      <c r="J92" s="71"/>
      <c r="K92" s="231">
        <v>4</v>
      </c>
      <c r="L92" s="232"/>
      <c r="M92" s="232"/>
      <c r="N92" s="223" t="str">
        <f>VLOOKUP(A92,'[4]Inscripcions'!$A$7:$B$209,2)</f>
        <v>Guillem Sans</v>
      </c>
      <c r="O92" s="223"/>
      <c r="P92" s="223"/>
      <c r="Q92" s="223"/>
      <c r="R92" s="223"/>
      <c r="S92" s="223"/>
      <c r="T92" s="223"/>
      <c r="U92" s="223"/>
      <c r="V92" s="224"/>
      <c r="W92" s="71"/>
      <c r="X92" s="225">
        <f>IF(AA95=0,0,IF(N92=AA95,3,1))+IF(AA98=0,0,IF(N92=AA98,3,1))+IF(AA100=0,0,IF(N92=AA100,3,1))</f>
        <v>3</v>
      </c>
      <c r="Y92" s="226"/>
      <c r="Z92" s="227"/>
      <c r="AA92" s="83" t="str">
        <f>IF(X92&gt;8,"1r",IF(X92&gt;6,"2n",IF(X92&gt;3,"3r",IF(X92&gt;2,"4t",))))</f>
        <v>4t</v>
      </c>
    </row>
    <row r="93" spans="1:27" ht="6.75" customHeight="1" thickBot="1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</row>
    <row r="94" spans="1:27" ht="13.5" customHeight="1" thickBot="1">
      <c r="A94" s="90" t="s">
        <v>11</v>
      </c>
      <c r="B94" s="90" t="s">
        <v>14</v>
      </c>
      <c r="C94" s="90" t="s">
        <v>4</v>
      </c>
      <c r="D94" s="217" t="s">
        <v>3</v>
      </c>
      <c r="E94" s="218"/>
      <c r="F94" s="219"/>
      <c r="G94" s="91"/>
      <c r="H94" s="220" t="s">
        <v>5</v>
      </c>
      <c r="I94" s="221"/>
      <c r="J94" s="222"/>
      <c r="K94" s="220" t="s">
        <v>7</v>
      </c>
      <c r="L94" s="221"/>
      <c r="M94" s="222"/>
      <c r="N94" s="220" t="s">
        <v>8</v>
      </c>
      <c r="O94" s="221"/>
      <c r="P94" s="222"/>
      <c r="Q94" s="220" t="s">
        <v>9</v>
      </c>
      <c r="R94" s="221"/>
      <c r="S94" s="222"/>
      <c r="T94" s="220" t="s">
        <v>10</v>
      </c>
      <c r="U94" s="221"/>
      <c r="V94" s="222"/>
      <c r="W94" s="91"/>
      <c r="X94" s="220" t="s">
        <v>12</v>
      </c>
      <c r="Y94" s="221"/>
      <c r="Z94" s="222"/>
      <c r="AA94" s="90" t="s">
        <v>13</v>
      </c>
    </row>
    <row r="95" spans="1:27" ht="18" customHeight="1" thickBot="1">
      <c r="A95" s="185">
        <v>0.47222222222222227</v>
      </c>
      <c r="B95" s="82" t="s">
        <v>15</v>
      </c>
      <c r="C95" s="88">
        <v>3</v>
      </c>
      <c r="D95" s="92">
        <v>1</v>
      </c>
      <c r="E95" s="93" t="s">
        <v>6</v>
      </c>
      <c r="F95" s="94">
        <v>4</v>
      </c>
      <c r="G95" s="91"/>
      <c r="H95" s="95">
        <v>11</v>
      </c>
      <c r="I95" s="74"/>
      <c r="J95" s="96">
        <v>0</v>
      </c>
      <c r="K95" s="95">
        <v>11</v>
      </c>
      <c r="L95" s="74"/>
      <c r="M95" s="96">
        <v>0</v>
      </c>
      <c r="N95" s="95">
        <v>11</v>
      </c>
      <c r="O95" s="74"/>
      <c r="P95" s="96">
        <v>0</v>
      </c>
      <c r="Q95" s="95"/>
      <c r="R95" s="74"/>
      <c r="S95" s="96"/>
      <c r="T95" s="95"/>
      <c r="U95" s="74"/>
      <c r="V95" s="96"/>
      <c r="W95" s="91"/>
      <c r="X95" s="89">
        <f aca="true" t="shared" si="8" ref="X95:X100">IF(H95&gt;J95,1,0)+IF(K95&gt;M95,1,0)+IF(N95&gt;P95,1,0)+IF(Q95&gt;S95,1,0)+IF(T95&gt;V95,1,0)</f>
        <v>3</v>
      </c>
      <c r="Y95" s="74" t="s">
        <v>6</v>
      </c>
      <c r="Z95" s="97">
        <f aca="true" t="shared" si="9" ref="Z95:Z100">IF(H95&lt;J95,1,0)+IF(K95&lt;M95,1,0)+IF(N95&lt;P95,1,0)+IF(Q95&lt;S95,1,0)+IF(T95&lt;V95,1,0)</f>
        <v>0</v>
      </c>
      <c r="AA95" s="98" t="str">
        <f>IF(X95&gt;Z95,N89,IF(X95&lt;Z95,N92,0))</f>
        <v>Francesc Solans</v>
      </c>
    </row>
    <row r="96" spans="1:27" ht="18" customHeight="1" thickBot="1">
      <c r="A96" s="195">
        <v>0.4861111111111111</v>
      </c>
      <c r="B96" s="82" t="s">
        <v>15</v>
      </c>
      <c r="C96" s="99">
        <v>1</v>
      </c>
      <c r="D96" s="100">
        <v>2</v>
      </c>
      <c r="E96" s="101" t="s">
        <v>6</v>
      </c>
      <c r="F96" s="87">
        <v>3</v>
      </c>
      <c r="G96" s="71"/>
      <c r="H96" s="95">
        <v>11</v>
      </c>
      <c r="I96" s="74"/>
      <c r="J96" s="96">
        <v>7</v>
      </c>
      <c r="K96" s="95">
        <v>7</v>
      </c>
      <c r="L96" s="74"/>
      <c r="M96" s="96">
        <v>11</v>
      </c>
      <c r="N96" s="95">
        <v>11</v>
      </c>
      <c r="O96" s="74"/>
      <c r="P96" s="96">
        <v>6</v>
      </c>
      <c r="Q96" s="102">
        <v>9</v>
      </c>
      <c r="R96" s="75"/>
      <c r="S96" s="103">
        <v>11</v>
      </c>
      <c r="T96" s="102">
        <v>11</v>
      </c>
      <c r="U96" s="75"/>
      <c r="V96" s="103">
        <v>9</v>
      </c>
      <c r="W96" s="73"/>
      <c r="X96" s="89">
        <f t="shared" si="8"/>
        <v>3</v>
      </c>
      <c r="Y96" s="75" t="s">
        <v>6</v>
      </c>
      <c r="Z96" s="97">
        <f t="shared" si="9"/>
        <v>2</v>
      </c>
      <c r="AA96" s="104" t="str">
        <f>IF(X96&gt;Z96,N90,IF(X96&lt;Z96,N91,0))</f>
        <v>David Arregui</v>
      </c>
    </row>
    <row r="97" spans="1:27" ht="17.25" customHeight="1" thickBot="1">
      <c r="A97" s="195">
        <v>0.5</v>
      </c>
      <c r="B97" s="82" t="s">
        <v>15</v>
      </c>
      <c r="C97" s="88">
        <v>4</v>
      </c>
      <c r="D97" s="92">
        <v>1</v>
      </c>
      <c r="E97" s="93" t="s">
        <v>6</v>
      </c>
      <c r="F97" s="94">
        <v>3</v>
      </c>
      <c r="G97" s="91"/>
      <c r="H97" s="95">
        <v>7</v>
      </c>
      <c r="I97" s="74"/>
      <c r="J97" s="96">
        <v>11</v>
      </c>
      <c r="K97" s="95">
        <v>7</v>
      </c>
      <c r="L97" s="74"/>
      <c r="M97" s="96">
        <v>11</v>
      </c>
      <c r="N97" s="95">
        <v>11</v>
      </c>
      <c r="O97" s="74"/>
      <c r="P97" s="96">
        <v>8</v>
      </c>
      <c r="Q97" s="95">
        <v>8</v>
      </c>
      <c r="R97" s="74"/>
      <c r="S97" s="96">
        <v>11</v>
      </c>
      <c r="T97" s="95"/>
      <c r="U97" s="74"/>
      <c r="V97" s="96"/>
      <c r="W97" s="91"/>
      <c r="X97" s="89">
        <f t="shared" si="8"/>
        <v>1</v>
      </c>
      <c r="Y97" s="74" t="s">
        <v>6</v>
      </c>
      <c r="Z97" s="97">
        <f t="shared" si="9"/>
        <v>3</v>
      </c>
      <c r="AA97" s="98" t="str">
        <f>IF(X97&gt;Z97,N89,IF(X97&lt;Z97,N91,0))</f>
        <v>Lluís Torné</v>
      </c>
    </row>
    <row r="98" spans="1:27" ht="20.25" customHeight="1" thickBot="1">
      <c r="A98" s="185">
        <v>0.513888888888889</v>
      </c>
      <c r="B98" s="82" t="s">
        <v>15</v>
      </c>
      <c r="C98" s="99">
        <v>3</v>
      </c>
      <c r="D98" s="100">
        <v>2</v>
      </c>
      <c r="E98" s="101" t="s">
        <v>6</v>
      </c>
      <c r="F98" s="87">
        <v>4</v>
      </c>
      <c r="G98" s="71"/>
      <c r="H98" s="95">
        <v>11</v>
      </c>
      <c r="I98" s="74"/>
      <c r="J98" s="96">
        <v>0</v>
      </c>
      <c r="K98" s="95">
        <v>11</v>
      </c>
      <c r="L98" s="74"/>
      <c r="M98" s="96">
        <v>0</v>
      </c>
      <c r="N98" s="95">
        <v>11</v>
      </c>
      <c r="O98" s="74"/>
      <c r="P98" s="96">
        <v>0</v>
      </c>
      <c r="Q98" s="102"/>
      <c r="R98" s="75"/>
      <c r="S98" s="103"/>
      <c r="T98" s="102"/>
      <c r="U98" s="75"/>
      <c r="V98" s="103"/>
      <c r="W98" s="73"/>
      <c r="X98" s="89">
        <f t="shared" si="8"/>
        <v>3</v>
      </c>
      <c r="Y98" s="75" t="s">
        <v>6</v>
      </c>
      <c r="Z98" s="97">
        <f t="shared" si="9"/>
        <v>0</v>
      </c>
      <c r="AA98" s="104" t="str">
        <f>IF(X98&gt;Z98,N90,IF(X98&lt;Z98,N92,0))</f>
        <v>David Arregui</v>
      </c>
    </row>
    <row r="99" spans="1:27" ht="18" customHeight="1" thickBot="1">
      <c r="A99" s="195">
        <v>0.5277777777777778</v>
      </c>
      <c r="B99" s="82" t="s">
        <v>15</v>
      </c>
      <c r="C99" s="88">
        <v>4</v>
      </c>
      <c r="D99" s="92">
        <v>1</v>
      </c>
      <c r="E99" s="93" t="s">
        <v>6</v>
      </c>
      <c r="F99" s="94">
        <v>2</v>
      </c>
      <c r="G99" s="91"/>
      <c r="H99" s="95">
        <v>11</v>
      </c>
      <c r="I99" s="74"/>
      <c r="J99" s="96">
        <v>4</v>
      </c>
      <c r="K99" s="95">
        <v>11</v>
      </c>
      <c r="L99" s="74"/>
      <c r="M99" s="96">
        <v>6</v>
      </c>
      <c r="N99" s="95">
        <v>11</v>
      </c>
      <c r="O99" s="74"/>
      <c r="P99" s="96">
        <v>3</v>
      </c>
      <c r="Q99" s="95"/>
      <c r="R99" s="74"/>
      <c r="S99" s="96"/>
      <c r="T99" s="95"/>
      <c r="U99" s="74"/>
      <c r="V99" s="96"/>
      <c r="W99" s="91"/>
      <c r="X99" s="89">
        <f t="shared" si="8"/>
        <v>3</v>
      </c>
      <c r="Y99" s="74" t="s">
        <v>6</v>
      </c>
      <c r="Z99" s="97">
        <f t="shared" si="9"/>
        <v>0</v>
      </c>
      <c r="AA99" s="98" t="str">
        <f>IF(X99&gt;Z99,N89,IF(X99&lt;Z99,N90,0))</f>
        <v>Francesc Solans</v>
      </c>
    </row>
    <row r="100" spans="1:27" ht="16.5" customHeight="1" thickBot="1">
      <c r="A100" s="185">
        <v>0.5416666666666666</v>
      </c>
      <c r="B100" s="82" t="s">
        <v>15</v>
      </c>
      <c r="C100" s="99">
        <v>2</v>
      </c>
      <c r="D100" s="100">
        <v>3</v>
      </c>
      <c r="E100" s="101" t="s">
        <v>6</v>
      </c>
      <c r="F100" s="87">
        <v>4</v>
      </c>
      <c r="G100" s="71"/>
      <c r="H100" s="95">
        <v>11</v>
      </c>
      <c r="I100" s="74"/>
      <c r="J100" s="96">
        <v>0</v>
      </c>
      <c r="K100" s="95">
        <v>11</v>
      </c>
      <c r="L100" s="74"/>
      <c r="M100" s="96">
        <v>0</v>
      </c>
      <c r="N100" s="95">
        <v>11</v>
      </c>
      <c r="O100" s="74"/>
      <c r="P100" s="96">
        <v>0</v>
      </c>
      <c r="Q100" s="105"/>
      <c r="R100" s="76"/>
      <c r="S100" s="106"/>
      <c r="T100" s="105"/>
      <c r="U100" s="76"/>
      <c r="V100" s="106"/>
      <c r="W100" s="73"/>
      <c r="X100" s="107">
        <f t="shared" si="8"/>
        <v>3</v>
      </c>
      <c r="Y100" s="76" t="s">
        <v>6</v>
      </c>
      <c r="Z100" s="108">
        <f t="shared" si="9"/>
        <v>0</v>
      </c>
      <c r="AA100" s="109" t="str">
        <f>IF(X100&gt;Z100,N91,IF(X100&lt;Z100,N92,0))</f>
        <v>Lluís Torné</v>
      </c>
    </row>
    <row r="101" spans="1:27" ht="15.75" thickBot="1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</row>
    <row r="102" spans="1:27" ht="6.75" customHeight="1" thickBot="1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</row>
    <row r="103" spans="1:27" ht="16.5" thickBot="1">
      <c r="A103" s="86" t="s">
        <v>36</v>
      </c>
      <c r="B103" s="87">
        <v>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</row>
    <row r="104" spans="1:27" ht="6.75" customHeight="1" thickBot="1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</row>
    <row r="105" spans="1:27" ht="16.5" thickBot="1">
      <c r="A105" s="228" t="s">
        <v>0</v>
      </c>
      <c r="B105" s="229"/>
      <c r="C105" s="230"/>
      <c r="D105" s="203"/>
      <c r="E105" s="203"/>
      <c r="F105" s="71"/>
      <c r="G105" s="71"/>
      <c r="H105" s="71"/>
      <c r="I105" s="71"/>
      <c r="J105" s="71"/>
      <c r="K105" s="228" t="s">
        <v>2</v>
      </c>
      <c r="L105" s="229"/>
      <c r="M105" s="229"/>
      <c r="N105" s="229" t="s">
        <v>1</v>
      </c>
      <c r="O105" s="229"/>
      <c r="P105" s="229"/>
      <c r="Q105" s="229"/>
      <c r="R105" s="229"/>
      <c r="S105" s="229"/>
      <c r="T105" s="229"/>
      <c r="U105" s="229"/>
      <c r="V105" s="230"/>
      <c r="W105" s="71"/>
      <c r="X105" s="214" t="s">
        <v>35</v>
      </c>
      <c r="Y105" s="215"/>
      <c r="Z105" s="216"/>
      <c r="AA105" s="88" t="s">
        <v>38</v>
      </c>
    </row>
    <row r="106" spans="1:27" ht="15.75">
      <c r="A106" s="209">
        <v>21</v>
      </c>
      <c r="B106" s="210"/>
      <c r="C106" s="211"/>
      <c r="D106" s="203"/>
      <c r="E106" s="203"/>
      <c r="F106" s="203"/>
      <c r="G106" s="203"/>
      <c r="H106" s="203"/>
      <c r="I106" s="203"/>
      <c r="J106" s="71"/>
      <c r="K106" s="212">
        <v>1</v>
      </c>
      <c r="L106" s="213"/>
      <c r="M106" s="213"/>
      <c r="N106" s="223" t="str">
        <f>VLOOKUP(A106,'[4]Inscripcions'!$A$7:$B$209,2)</f>
        <v>Eduard Viladegut</v>
      </c>
      <c r="O106" s="223"/>
      <c r="P106" s="223"/>
      <c r="Q106" s="223"/>
      <c r="R106" s="223"/>
      <c r="S106" s="223"/>
      <c r="T106" s="223"/>
      <c r="U106" s="223"/>
      <c r="V106" s="224"/>
      <c r="W106" s="71"/>
      <c r="X106" s="225">
        <f>IF(AA112=0,0,IF(N106=AA112,3,1))+IF(AA114=0,0,IF(N106=AA114,3,1))+IF(AA116=0,0,IF(N106=AA116,3,1))</f>
        <v>9</v>
      </c>
      <c r="Y106" s="226"/>
      <c r="Z106" s="227"/>
      <c r="AA106" s="84" t="str">
        <f>IF(X106&gt;8,"1r",IF(X106&gt;6,"2n",IF(X106&gt;3,"3r",IF(X106&gt;2,"4t",))))</f>
        <v>1r</v>
      </c>
    </row>
    <row r="107" spans="1:27" ht="15.75">
      <c r="A107" s="233">
        <v>22</v>
      </c>
      <c r="B107" s="234"/>
      <c r="C107" s="235"/>
      <c r="D107" s="203"/>
      <c r="E107" s="203"/>
      <c r="F107" s="203"/>
      <c r="G107" s="203"/>
      <c r="H107" s="203"/>
      <c r="I107" s="203"/>
      <c r="J107" s="71"/>
      <c r="K107" s="231">
        <v>2</v>
      </c>
      <c r="L107" s="232"/>
      <c r="M107" s="232"/>
      <c r="N107" s="223" t="str">
        <f>VLOOKUP(A107,'[4]Inscripcions'!$A$7:$B$209,2)</f>
        <v>Guillem Arbiol</v>
      </c>
      <c r="O107" s="223"/>
      <c r="P107" s="223"/>
      <c r="Q107" s="223"/>
      <c r="R107" s="223"/>
      <c r="S107" s="223"/>
      <c r="T107" s="223"/>
      <c r="U107" s="223"/>
      <c r="V107" s="224"/>
      <c r="W107" s="71"/>
      <c r="X107" s="225">
        <f>IF(AA113=0,0,IF(N107=AA113,3,1))+IF(AA115=0,0,IF(N107=AA115,3,1))+IF(AA116=0,0,IF(N107=AA116,3,1))</f>
        <v>7</v>
      </c>
      <c r="Y107" s="226"/>
      <c r="Z107" s="227"/>
      <c r="AA107" s="83" t="str">
        <f>IF(X107&gt;8,"1r",IF(X107&gt;6,"2n",IF(X107&gt;3,"3r",IF(X107&gt;2,"4t",))))</f>
        <v>2n</v>
      </c>
    </row>
    <row r="108" spans="1:27" ht="15.75">
      <c r="A108" s="233">
        <v>23</v>
      </c>
      <c r="B108" s="234"/>
      <c r="C108" s="235"/>
      <c r="D108" s="203"/>
      <c r="E108" s="203"/>
      <c r="F108" s="203"/>
      <c r="G108" s="203"/>
      <c r="H108" s="203"/>
      <c r="I108" s="203"/>
      <c r="J108" s="71"/>
      <c r="K108" s="231">
        <v>3</v>
      </c>
      <c r="L108" s="232"/>
      <c r="M108" s="232"/>
      <c r="N108" s="223" t="str">
        <f>VLOOKUP(A108,'[4]Inscripcions'!$A$7:$B$209,2)</f>
        <v>Roger Rubió</v>
      </c>
      <c r="O108" s="223"/>
      <c r="P108" s="223"/>
      <c r="Q108" s="223"/>
      <c r="R108" s="223"/>
      <c r="S108" s="223"/>
      <c r="T108" s="223"/>
      <c r="U108" s="223"/>
      <c r="V108" s="224"/>
      <c r="W108" s="71"/>
      <c r="X108" s="225">
        <f>IF(AA113=0,0,IF(N108=AA113,3,1))+IF(AA114=0,0,IF(N108=AA114,3,1))+IF(AA117=0,0,IF(N108=AA117,3,1))</f>
        <v>5</v>
      </c>
      <c r="Y108" s="226"/>
      <c r="Z108" s="227"/>
      <c r="AA108" s="83" t="str">
        <f>IF(X108&gt;8,"1r",IF(X108&gt;6,"2n",IF(X108&gt;3,"3r",IF(X108&gt;2,"4t",))))</f>
        <v>3r</v>
      </c>
    </row>
    <row r="109" spans="1:27" ht="16.5" thickBot="1">
      <c r="A109" s="236">
        <v>24</v>
      </c>
      <c r="B109" s="237"/>
      <c r="C109" s="238"/>
      <c r="D109" s="203"/>
      <c r="E109" s="203"/>
      <c r="F109" s="203"/>
      <c r="G109" s="203"/>
      <c r="H109" s="203"/>
      <c r="I109" s="203"/>
      <c r="J109" s="71"/>
      <c r="K109" s="231">
        <v>4</v>
      </c>
      <c r="L109" s="232"/>
      <c r="M109" s="232"/>
      <c r="N109" s="223" t="s">
        <v>274</v>
      </c>
      <c r="O109" s="223"/>
      <c r="P109" s="223"/>
      <c r="Q109" s="223"/>
      <c r="R109" s="223"/>
      <c r="S109" s="223"/>
      <c r="T109" s="223"/>
      <c r="U109" s="223"/>
      <c r="V109" s="224"/>
      <c r="W109" s="71"/>
      <c r="X109" s="225">
        <f>IF(AA112=0,0,IF(N109=AA112,3,1))+IF(AA115=0,0,IF(N109=AA115,3,1))+IF(AA117=0,0,IF(N109=AA117,3,1))</f>
        <v>3</v>
      </c>
      <c r="Y109" s="226"/>
      <c r="Z109" s="227"/>
      <c r="AA109" s="83" t="str">
        <f>IF(X109&gt;8,"1r",IF(X109&gt;6,"2n",IF(X109&gt;3,"3r",IF(X109&gt;2,"4t",))))</f>
        <v>4t</v>
      </c>
    </row>
    <row r="110" spans="1:27" ht="6.75" customHeight="1" thickBot="1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</row>
    <row r="111" spans="1:27" ht="13.5" customHeight="1" thickBot="1">
      <c r="A111" s="90" t="s">
        <v>11</v>
      </c>
      <c r="B111" s="90" t="s">
        <v>14</v>
      </c>
      <c r="C111" s="90" t="s">
        <v>4</v>
      </c>
      <c r="D111" s="217" t="s">
        <v>3</v>
      </c>
      <c r="E111" s="218"/>
      <c r="F111" s="219"/>
      <c r="G111" s="91"/>
      <c r="H111" s="220" t="s">
        <v>5</v>
      </c>
      <c r="I111" s="221"/>
      <c r="J111" s="222"/>
      <c r="K111" s="220" t="s">
        <v>7</v>
      </c>
      <c r="L111" s="221"/>
      <c r="M111" s="222"/>
      <c r="N111" s="220" t="s">
        <v>8</v>
      </c>
      <c r="O111" s="221"/>
      <c r="P111" s="222"/>
      <c r="Q111" s="220" t="s">
        <v>9</v>
      </c>
      <c r="R111" s="221"/>
      <c r="S111" s="222"/>
      <c r="T111" s="220" t="s">
        <v>10</v>
      </c>
      <c r="U111" s="221"/>
      <c r="V111" s="222"/>
      <c r="W111" s="91"/>
      <c r="X111" s="220" t="s">
        <v>12</v>
      </c>
      <c r="Y111" s="221"/>
      <c r="Z111" s="222"/>
      <c r="AA111" s="90" t="s">
        <v>13</v>
      </c>
    </row>
    <row r="112" spans="1:27" ht="17.25" customHeight="1" thickBot="1">
      <c r="A112" s="185">
        <v>0.4583333333333333</v>
      </c>
      <c r="B112" s="82" t="s">
        <v>16</v>
      </c>
      <c r="C112" s="88">
        <v>3</v>
      </c>
      <c r="D112" s="92">
        <v>1</v>
      </c>
      <c r="E112" s="93" t="s">
        <v>6</v>
      </c>
      <c r="F112" s="94">
        <v>4</v>
      </c>
      <c r="G112" s="91"/>
      <c r="H112" s="95">
        <v>11</v>
      </c>
      <c r="I112" s="74"/>
      <c r="J112" s="96">
        <v>8</v>
      </c>
      <c r="K112" s="95">
        <v>11</v>
      </c>
      <c r="L112" s="74"/>
      <c r="M112" s="96">
        <v>6</v>
      </c>
      <c r="N112" s="95">
        <v>11</v>
      </c>
      <c r="O112" s="74"/>
      <c r="P112" s="96">
        <v>8</v>
      </c>
      <c r="Q112" s="95"/>
      <c r="R112" s="74"/>
      <c r="S112" s="96"/>
      <c r="T112" s="95"/>
      <c r="U112" s="74"/>
      <c r="V112" s="96"/>
      <c r="W112" s="91"/>
      <c r="X112" s="89">
        <f aca="true" t="shared" si="10" ref="X112:X117">IF(H112&gt;J112,1,0)+IF(K112&gt;M112,1,0)+IF(N112&gt;P112,1,0)+IF(Q112&gt;S112,1,0)+IF(T112&gt;V112,1,0)</f>
        <v>3</v>
      </c>
      <c r="Y112" s="74" t="s">
        <v>6</v>
      </c>
      <c r="Z112" s="97">
        <f aca="true" t="shared" si="11" ref="Z112:Z117">IF(H112&lt;J112,1,0)+IF(K112&lt;M112,1,0)+IF(N112&lt;P112,1,0)+IF(Q112&lt;S112,1,0)+IF(T112&lt;V112,1,0)</f>
        <v>0</v>
      </c>
      <c r="AA112" s="98" t="str">
        <f>IF(X112&gt;Z112,N106,IF(X112&lt;Z112,N109,0))</f>
        <v>Eduard Viladegut</v>
      </c>
    </row>
    <row r="113" spans="1:27" ht="18" customHeight="1" thickBot="1">
      <c r="A113" s="195">
        <v>0.47222222222222227</v>
      </c>
      <c r="B113" s="82" t="s">
        <v>16</v>
      </c>
      <c r="C113" s="99">
        <v>1</v>
      </c>
      <c r="D113" s="100">
        <v>2</v>
      </c>
      <c r="E113" s="101" t="s">
        <v>6</v>
      </c>
      <c r="F113" s="87">
        <v>3</v>
      </c>
      <c r="G113" s="71"/>
      <c r="H113" s="95">
        <v>8</v>
      </c>
      <c r="I113" s="74"/>
      <c r="J113" s="96">
        <v>11</v>
      </c>
      <c r="K113" s="95">
        <v>11</v>
      </c>
      <c r="L113" s="74"/>
      <c r="M113" s="96">
        <v>8</v>
      </c>
      <c r="N113" s="95">
        <v>11</v>
      </c>
      <c r="O113" s="74"/>
      <c r="P113" s="96">
        <v>8</v>
      </c>
      <c r="Q113" s="102">
        <v>8</v>
      </c>
      <c r="R113" s="75"/>
      <c r="S113" s="103">
        <v>11</v>
      </c>
      <c r="T113" s="102">
        <v>11</v>
      </c>
      <c r="U113" s="75"/>
      <c r="V113" s="103">
        <v>8</v>
      </c>
      <c r="W113" s="73"/>
      <c r="X113" s="89">
        <f t="shared" si="10"/>
        <v>3</v>
      </c>
      <c r="Y113" s="75" t="s">
        <v>6</v>
      </c>
      <c r="Z113" s="97">
        <f t="shared" si="11"/>
        <v>2</v>
      </c>
      <c r="AA113" s="104" t="str">
        <f>IF(X113&gt;Z113,N107,IF(X113&lt;Z113,N108,0))</f>
        <v>Guillem Arbiol</v>
      </c>
    </row>
    <row r="114" spans="1:27" ht="19.5" customHeight="1" thickBot="1">
      <c r="A114" s="195">
        <v>0.4861111111111111</v>
      </c>
      <c r="B114" s="82" t="s">
        <v>16</v>
      </c>
      <c r="C114" s="88">
        <v>4</v>
      </c>
      <c r="D114" s="92">
        <v>1</v>
      </c>
      <c r="E114" s="93" t="s">
        <v>6</v>
      </c>
      <c r="F114" s="94">
        <v>3</v>
      </c>
      <c r="G114" s="91"/>
      <c r="H114" s="95">
        <v>11</v>
      </c>
      <c r="I114" s="74"/>
      <c r="J114" s="96">
        <v>7</v>
      </c>
      <c r="K114" s="95">
        <v>11</v>
      </c>
      <c r="L114" s="74"/>
      <c r="M114" s="96">
        <v>9</v>
      </c>
      <c r="N114" s="95">
        <v>11</v>
      </c>
      <c r="O114" s="74"/>
      <c r="P114" s="96">
        <v>4</v>
      </c>
      <c r="Q114" s="95"/>
      <c r="R114" s="74"/>
      <c r="S114" s="96"/>
      <c r="T114" s="95"/>
      <c r="U114" s="74"/>
      <c r="V114" s="96"/>
      <c r="W114" s="91"/>
      <c r="X114" s="89">
        <f t="shared" si="10"/>
        <v>3</v>
      </c>
      <c r="Y114" s="74" t="s">
        <v>6</v>
      </c>
      <c r="Z114" s="97">
        <f t="shared" si="11"/>
        <v>0</v>
      </c>
      <c r="AA114" s="98" t="str">
        <f>IF(X114&gt;Z114,N106,IF(X114&lt;Z114,N108,0))</f>
        <v>Eduard Viladegut</v>
      </c>
    </row>
    <row r="115" spans="1:27" ht="18" customHeight="1" thickBot="1">
      <c r="A115" s="185">
        <v>0.5</v>
      </c>
      <c r="B115" s="82" t="s">
        <v>16</v>
      </c>
      <c r="C115" s="99">
        <v>3</v>
      </c>
      <c r="D115" s="100">
        <v>2</v>
      </c>
      <c r="E115" s="101" t="s">
        <v>6</v>
      </c>
      <c r="F115" s="87">
        <v>4</v>
      </c>
      <c r="G115" s="71"/>
      <c r="H115" s="95">
        <v>11</v>
      </c>
      <c r="I115" s="74"/>
      <c r="J115" s="96">
        <v>6</v>
      </c>
      <c r="K115" s="95">
        <v>11</v>
      </c>
      <c r="L115" s="74"/>
      <c r="M115" s="96">
        <v>5</v>
      </c>
      <c r="N115" s="95">
        <v>11</v>
      </c>
      <c r="O115" s="74"/>
      <c r="P115" s="96">
        <v>3</v>
      </c>
      <c r="Q115" s="102"/>
      <c r="R115" s="75"/>
      <c r="S115" s="103"/>
      <c r="T115" s="102"/>
      <c r="U115" s="75"/>
      <c r="V115" s="103"/>
      <c r="W115" s="73"/>
      <c r="X115" s="89">
        <f t="shared" si="10"/>
        <v>3</v>
      </c>
      <c r="Y115" s="75" t="s">
        <v>6</v>
      </c>
      <c r="Z115" s="97">
        <f t="shared" si="11"/>
        <v>0</v>
      </c>
      <c r="AA115" s="104" t="str">
        <f>IF(X115&gt;Z115,N107,IF(X115&lt;Z115,N109,0))</f>
        <v>Guillem Arbiol</v>
      </c>
    </row>
    <row r="116" spans="1:27" ht="17.25" customHeight="1" thickBot="1">
      <c r="A116" s="195">
        <v>0.513888888888889</v>
      </c>
      <c r="B116" s="82" t="s">
        <v>16</v>
      </c>
      <c r="C116" s="88">
        <v>4</v>
      </c>
      <c r="D116" s="92">
        <v>1</v>
      </c>
      <c r="E116" s="93" t="s">
        <v>6</v>
      </c>
      <c r="F116" s="94">
        <v>2</v>
      </c>
      <c r="G116" s="91"/>
      <c r="H116" s="95">
        <v>11</v>
      </c>
      <c r="I116" s="74"/>
      <c r="J116" s="96">
        <v>3</v>
      </c>
      <c r="K116" s="95">
        <v>11</v>
      </c>
      <c r="L116" s="74"/>
      <c r="M116" s="96">
        <v>1</v>
      </c>
      <c r="N116" s="95">
        <v>13</v>
      </c>
      <c r="O116" s="74"/>
      <c r="P116" s="96">
        <v>11</v>
      </c>
      <c r="Q116" s="95"/>
      <c r="R116" s="74"/>
      <c r="S116" s="96"/>
      <c r="T116" s="95"/>
      <c r="U116" s="74"/>
      <c r="V116" s="96"/>
      <c r="W116" s="91"/>
      <c r="X116" s="89">
        <f t="shared" si="10"/>
        <v>3</v>
      </c>
      <c r="Y116" s="74" t="s">
        <v>6</v>
      </c>
      <c r="Z116" s="97">
        <f t="shared" si="11"/>
        <v>0</v>
      </c>
      <c r="AA116" s="98" t="str">
        <f>IF(X116&gt;Z116,N106,IF(X116&lt;Z116,N107,0))</f>
        <v>Eduard Viladegut</v>
      </c>
    </row>
    <row r="117" spans="1:27" ht="17.25" customHeight="1" thickBot="1">
      <c r="A117" s="185">
        <v>0.5277777777777778</v>
      </c>
      <c r="B117" s="82" t="s">
        <v>16</v>
      </c>
      <c r="C117" s="99">
        <v>2</v>
      </c>
      <c r="D117" s="100">
        <v>3</v>
      </c>
      <c r="E117" s="101" t="s">
        <v>6</v>
      </c>
      <c r="F117" s="87">
        <v>4</v>
      </c>
      <c r="G117" s="71"/>
      <c r="H117" s="95">
        <v>11</v>
      </c>
      <c r="I117" s="74"/>
      <c r="J117" s="96">
        <v>4</v>
      </c>
      <c r="K117" s="95">
        <v>11</v>
      </c>
      <c r="L117" s="74"/>
      <c r="M117" s="96">
        <v>8</v>
      </c>
      <c r="N117" s="95">
        <v>11</v>
      </c>
      <c r="O117" s="74"/>
      <c r="P117" s="96">
        <v>4</v>
      </c>
      <c r="Q117" s="105"/>
      <c r="R117" s="76"/>
      <c r="S117" s="106"/>
      <c r="T117" s="105"/>
      <c r="U117" s="76"/>
      <c r="V117" s="106"/>
      <c r="W117" s="73"/>
      <c r="X117" s="107">
        <f t="shared" si="10"/>
        <v>3</v>
      </c>
      <c r="Y117" s="76" t="s">
        <v>6</v>
      </c>
      <c r="Z117" s="108">
        <f t="shared" si="11"/>
        <v>0</v>
      </c>
      <c r="AA117" s="109" t="str">
        <f>IF(X117&gt;Z117,N108,IF(X117&lt;Z117,N109,0))</f>
        <v>Roger Rubió</v>
      </c>
    </row>
    <row r="118" spans="1:27" ht="15.75" thickBot="1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</row>
    <row r="119" spans="1:27" ht="6.75" customHeight="1" thickBot="1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</row>
    <row r="120" spans="1:27" ht="16.5" thickBot="1">
      <c r="A120" s="86" t="s">
        <v>36</v>
      </c>
      <c r="B120" s="87">
        <v>7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</row>
    <row r="121" spans="1:27" ht="6.75" customHeight="1" thickBot="1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</row>
    <row r="122" spans="1:27" ht="16.5" thickBot="1">
      <c r="A122" s="228" t="s">
        <v>0</v>
      </c>
      <c r="B122" s="229"/>
      <c r="C122" s="230"/>
      <c r="D122" s="203"/>
      <c r="E122" s="203"/>
      <c r="F122" s="71"/>
      <c r="G122" s="71"/>
      <c r="H122" s="71"/>
      <c r="I122" s="71"/>
      <c r="J122" s="71"/>
      <c r="K122" s="228" t="s">
        <v>2</v>
      </c>
      <c r="L122" s="229"/>
      <c r="M122" s="229"/>
      <c r="N122" s="229" t="s">
        <v>1</v>
      </c>
      <c r="O122" s="229"/>
      <c r="P122" s="229"/>
      <c r="Q122" s="229"/>
      <c r="R122" s="229"/>
      <c r="S122" s="229"/>
      <c r="T122" s="229"/>
      <c r="U122" s="229"/>
      <c r="V122" s="230"/>
      <c r="W122" s="71"/>
      <c r="X122" s="214" t="s">
        <v>35</v>
      </c>
      <c r="Y122" s="215"/>
      <c r="Z122" s="216"/>
      <c r="AA122" s="88" t="s">
        <v>38</v>
      </c>
    </row>
    <row r="123" spans="1:27" ht="15.75">
      <c r="A123" s="209">
        <v>25</v>
      </c>
      <c r="B123" s="210"/>
      <c r="C123" s="211"/>
      <c r="D123" s="203"/>
      <c r="E123" s="203"/>
      <c r="F123" s="203"/>
      <c r="G123" s="203"/>
      <c r="H123" s="203"/>
      <c r="I123" s="203"/>
      <c r="J123" s="71"/>
      <c r="K123" s="212">
        <v>1</v>
      </c>
      <c r="L123" s="213"/>
      <c r="M123" s="213"/>
      <c r="N123" s="223" t="str">
        <f>VLOOKUP(A123,'[4]Inscripcions'!$A$7:$B$209,2)</f>
        <v>Agustí Sanz</v>
      </c>
      <c r="O123" s="223"/>
      <c r="P123" s="223"/>
      <c r="Q123" s="223"/>
      <c r="R123" s="223"/>
      <c r="S123" s="223"/>
      <c r="T123" s="223"/>
      <c r="U123" s="223"/>
      <c r="V123" s="224"/>
      <c r="W123" s="71"/>
      <c r="X123" s="225">
        <f>IF(AA129=0,0,IF(N123=AA129,3,1))+IF(AA131=0,0,IF(N123=AA131,3,1))+IF(AA133=0,0,IF(N123=AA133,3,1))</f>
        <v>9</v>
      </c>
      <c r="Y123" s="226"/>
      <c r="Z123" s="227"/>
      <c r="AA123" s="84" t="str">
        <f>IF(X123&gt;8,"1r",IF(X123&gt;6,"2n",IF(X123&gt;3,"3r",IF(X123&gt;2,"4t",))))</f>
        <v>1r</v>
      </c>
    </row>
    <row r="124" spans="1:27" ht="15.75">
      <c r="A124" s="233">
        <v>26</v>
      </c>
      <c r="B124" s="234"/>
      <c r="C124" s="235"/>
      <c r="D124" s="203"/>
      <c r="E124" s="203"/>
      <c r="F124" s="203"/>
      <c r="G124" s="203"/>
      <c r="H124" s="203"/>
      <c r="I124" s="203"/>
      <c r="J124" s="71"/>
      <c r="K124" s="231">
        <v>2</v>
      </c>
      <c r="L124" s="232"/>
      <c r="M124" s="232"/>
      <c r="N124" s="223" t="str">
        <f>VLOOKUP(A124,'[4]Inscripcions'!$A$7:$B$209,2)</f>
        <v>Dimitri Bus</v>
      </c>
      <c r="O124" s="223"/>
      <c r="P124" s="223"/>
      <c r="Q124" s="223"/>
      <c r="R124" s="223"/>
      <c r="S124" s="223"/>
      <c r="T124" s="223"/>
      <c r="U124" s="223"/>
      <c r="V124" s="224"/>
      <c r="W124" s="71"/>
      <c r="X124" s="225">
        <f>IF(AA130=0,0,IF(N124=AA130,3,1))+IF(AA132=0,0,IF(N124=AA132,3,1))+IF(AA133=0,0,IF(N124=AA133,3,1))</f>
        <v>5</v>
      </c>
      <c r="Y124" s="226"/>
      <c r="Z124" s="227"/>
      <c r="AA124" s="83" t="s">
        <v>271</v>
      </c>
    </row>
    <row r="125" spans="1:27" ht="15.75">
      <c r="A125" s="233">
        <v>27</v>
      </c>
      <c r="B125" s="234"/>
      <c r="C125" s="235"/>
      <c r="D125" s="203"/>
      <c r="E125" s="203"/>
      <c r="F125" s="203"/>
      <c r="G125" s="203"/>
      <c r="H125" s="203"/>
      <c r="I125" s="203"/>
      <c r="J125" s="71"/>
      <c r="K125" s="231">
        <v>3</v>
      </c>
      <c r="L125" s="232"/>
      <c r="M125" s="232"/>
      <c r="N125" s="223" t="str">
        <f>VLOOKUP(A125,'[4]Inscripcions'!$A$7:$B$209,2)</f>
        <v>Carles Gallart</v>
      </c>
      <c r="O125" s="223"/>
      <c r="P125" s="223"/>
      <c r="Q125" s="223"/>
      <c r="R125" s="223"/>
      <c r="S125" s="223"/>
      <c r="T125" s="223"/>
      <c r="U125" s="223"/>
      <c r="V125" s="224"/>
      <c r="W125" s="71"/>
      <c r="X125" s="225">
        <f>IF(AA130=0,0,IF(N125=AA130,3,1))+IF(AA131=0,0,IF(N125=AA131,3,1))+IF(AA134=0,0,IF(N125=AA134,3,1))</f>
        <v>5</v>
      </c>
      <c r="Y125" s="226"/>
      <c r="Z125" s="227"/>
      <c r="AA125" s="83" t="s">
        <v>273</v>
      </c>
    </row>
    <row r="126" spans="1:27" ht="16.5" thickBot="1">
      <c r="A126" s="236">
        <v>28</v>
      </c>
      <c r="B126" s="237"/>
      <c r="C126" s="238"/>
      <c r="D126" s="203"/>
      <c r="E126" s="203"/>
      <c r="F126" s="203"/>
      <c r="G126" s="203"/>
      <c r="H126" s="203"/>
      <c r="I126" s="203"/>
      <c r="J126" s="71"/>
      <c r="K126" s="231">
        <v>4</v>
      </c>
      <c r="L126" s="232"/>
      <c r="M126" s="232"/>
      <c r="N126" s="223" t="str">
        <f>VLOOKUP(A126,'[4]Inscripcions'!$A$7:$B$209,2)</f>
        <v>Marc Molina</v>
      </c>
      <c r="O126" s="223"/>
      <c r="P126" s="223"/>
      <c r="Q126" s="223"/>
      <c r="R126" s="223"/>
      <c r="S126" s="223"/>
      <c r="T126" s="223"/>
      <c r="U126" s="223"/>
      <c r="V126" s="224"/>
      <c r="W126" s="71"/>
      <c r="X126" s="225">
        <f>IF(AA129=0,0,IF(N126=AA129,3,1))+IF(AA132=0,0,IF(N126=AA132,3,1))+IF(AA134=0,0,IF(N126=AA134,3,1))</f>
        <v>5</v>
      </c>
      <c r="Y126" s="226"/>
      <c r="Z126" s="227"/>
      <c r="AA126" s="83" t="str">
        <f>IF(X126&gt;8,"1r",IF(X126&gt;6,"2n",IF(X126&gt;3,"3r",IF(X126&gt;2,"4t",))))</f>
        <v>3r</v>
      </c>
    </row>
    <row r="127" spans="1:27" ht="6.75" customHeight="1" thickBot="1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</row>
    <row r="128" spans="1:27" ht="13.5" customHeight="1" thickBot="1">
      <c r="A128" s="90" t="s">
        <v>11</v>
      </c>
      <c r="B128" s="90" t="s">
        <v>14</v>
      </c>
      <c r="C128" s="90" t="s">
        <v>4</v>
      </c>
      <c r="D128" s="217" t="s">
        <v>3</v>
      </c>
      <c r="E128" s="218"/>
      <c r="F128" s="219"/>
      <c r="G128" s="91"/>
      <c r="H128" s="220" t="s">
        <v>5</v>
      </c>
      <c r="I128" s="221"/>
      <c r="J128" s="222"/>
      <c r="K128" s="220" t="s">
        <v>7</v>
      </c>
      <c r="L128" s="221"/>
      <c r="M128" s="222"/>
      <c r="N128" s="220" t="s">
        <v>8</v>
      </c>
      <c r="O128" s="221"/>
      <c r="P128" s="222"/>
      <c r="Q128" s="220" t="s">
        <v>9</v>
      </c>
      <c r="R128" s="221"/>
      <c r="S128" s="222"/>
      <c r="T128" s="220" t="s">
        <v>10</v>
      </c>
      <c r="U128" s="221"/>
      <c r="V128" s="222"/>
      <c r="W128" s="91"/>
      <c r="X128" s="220" t="s">
        <v>12</v>
      </c>
      <c r="Y128" s="221"/>
      <c r="Z128" s="222"/>
      <c r="AA128" s="90" t="s">
        <v>13</v>
      </c>
    </row>
    <row r="129" spans="1:27" ht="17.25" customHeight="1" thickBot="1">
      <c r="A129" s="185">
        <v>0.4583333333333333</v>
      </c>
      <c r="B129" s="82" t="s">
        <v>17</v>
      </c>
      <c r="C129" s="88">
        <v>3</v>
      </c>
      <c r="D129" s="92">
        <v>1</v>
      </c>
      <c r="E129" s="93" t="s">
        <v>6</v>
      </c>
      <c r="F129" s="94">
        <v>4</v>
      </c>
      <c r="G129" s="91"/>
      <c r="H129" s="95">
        <v>11</v>
      </c>
      <c r="I129" s="74"/>
      <c r="J129" s="96">
        <v>9</v>
      </c>
      <c r="K129" s="95">
        <v>11</v>
      </c>
      <c r="L129" s="74"/>
      <c r="M129" s="96">
        <v>3</v>
      </c>
      <c r="N129" s="95">
        <v>11</v>
      </c>
      <c r="O129" s="74"/>
      <c r="P129" s="96">
        <v>9</v>
      </c>
      <c r="Q129" s="95"/>
      <c r="R129" s="74"/>
      <c r="S129" s="96"/>
      <c r="T129" s="95"/>
      <c r="U129" s="74"/>
      <c r="V129" s="96"/>
      <c r="W129" s="91"/>
      <c r="X129" s="89">
        <f aca="true" t="shared" si="12" ref="X129:X134">IF(H129&gt;J129,1,0)+IF(K129&gt;M129,1,0)+IF(N129&gt;P129,1,0)+IF(Q129&gt;S129,1,0)+IF(T129&gt;V129,1,0)</f>
        <v>3</v>
      </c>
      <c r="Y129" s="74" t="s">
        <v>6</v>
      </c>
      <c r="Z129" s="97">
        <f aca="true" t="shared" si="13" ref="Z129:Z134">IF(H129&lt;J129,1,0)+IF(K129&lt;M129,1,0)+IF(N129&lt;P129,1,0)+IF(Q129&lt;S129,1,0)+IF(T129&lt;V129,1,0)</f>
        <v>0</v>
      </c>
      <c r="AA129" s="98" t="str">
        <f>IF(X129&gt;Z129,N123,IF(X129&lt;Z129,N126,0))</f>
        <v>Agustí Sanz</v>
      </c>
    </row>
    <row r="130" spans="1:27" ht="18" customHeight="1" thickBot="1">
      <c r="A130" s="195">
        <v>0.47222222222222227</v>
      </c>
      <c r="B130" s="82" t="s">
        <v>17</v>
      </c>
      <c r="C130" s="99">
        <v>1</v>
      </c>
      <c r="D130" s="100">
        <v>2</v>
      </c>
      <c r="E130" s="101" t="s">
        <v>6</v>
      </c>
      <c r="F130" s="87">
        <v>3</v>
      </c>
      <c r="G130" s="71"/>
      <c r="H130" s="95">
        <v>11</v>
      </c>
      <c r="I130" s="74"/>
      <c r="J130" s="96">
        <v>13</v>
      </c>
      <c r="K130" s="95">
        <v>3</v>
      </c>
      <c r="L130" s="74"/>
      <c r="M130" s="96">
        <v>11</v>
      </c>
      <c r="N130" s="95">
        <v>11</v>
      </c>
      <c r="O130" s="74"/>
      <c r="P130" s="96">
        <v>7</v>
      </c>
      <c r="Q130" s="102">
        <v>5</v>
      </c>
      <c r="R130" s="75"/>
      <c r="S130" s="103">
        <v>11</v>
      </c>
      <c r="T130" s="102"/>
      <c r="U130" s="75"/>
      <c r="V130" s="103"/>
      <c r="W130" s="73"/>
      <c r="X130" s="89">
        <f t="shared" si="12"/>
        <v>1</v>
      </c>
      <c r="Y130" s="75" t="s">
        <v>6</v>
      </c>
      <c r="Z130" s="97">
        <f t="shared" si="13"/>
        <v>3</v>
      </c>
      <c r="AA130" s="104" t="str">
        <f>IF(X130&gt;Z130,N124,IF(X130&lt;Z130,N125,0))</f>
        <v>Carles Gallart</v>
      </c>
    </row>
    <row r="131" spans="1:27" ht="17.25" customHeight="1" thickBot="1">
      <c r="A131" s="195">
        <v>0.4861111111111111</v>
      </c>
      <c r="B131" s="82" t="s">
        <v>17</v>
      </c>
      <c r="C131" s="88">
        <v>4</v>
      </c>
      <c r="D131" s="92">
        <v>1</v>
      </c>
      <c r="E131" s="93" t="s">
        <v>6</v>
      </c>
      <c r="F131" s="94">
        <v>3</v>
      </c>
      <c r="G131" s="91"/>
      <c r="H131" s="95">
        <v>5</v>
      </c>
      <c r="I131" s="74"/>
      <c r="J131" s="96">
        <v>11</v>
      </c>
      <c r="K131" s="95">
        <v>11</v>
      </c>
      <c r="L131" s="74"/>
      <c r="M131" s="96">
        <v>7</v>
      </c>
      <c r="N131" s="95">
        <v>7</v>
      </c>
      <c r="O131" s="74"/>
      <c r="P131" s="96">
        <v>11</v>
      </c>
      <c r="Q131" s="95">
        <v>11</v>
      </c>
      <c r="R131" s="74"/>
      <c r="S131" s="96">
        <v>8</v>
      </c>
      <c r="T131" s="95">
        <v>11</v>
      </c>
      <c r="U131" s="74"/>
      <c r="V131" s="96">
        <v>9</v>
      </c>
      <c r="W131" s="91"/>
      <c r="X131" s="89">
        <f t="shared" si="12"/>
        <v>3</v>
      </c>
      <c r="Y131" s="74" t="s">
        <v>6</v>
      </c>
      <c r="Z131" s="97">
        <f t="shared" si="13"/>
        <v>2</v>
      </c>
      <c r="AA131" s="98" t="str">
        <f>IF(X131&gt;Z131,N123,IF(X131&lt;Z131,N125,0))</f>
        <v>Agustí Sanz</v>
      </c>
    </row>
    <row r="132" spans="1:27" ht="19.5" customHeight="1" thickBot="1">
      <c r="A132" s="185">
        <v>0.5</v>
      </c>
      <c r="B132" s="82" t="s">
        <v>17</v>
      </c>
      <c r="C132" s="99">
        <v>3</v>
      </c>
      <c r="D132" s="100">
        <v>2</v>
      </c>
      <c r="E132" s="101" t="s">
        <v>6</v>
      </c>
      <c r="F132" s="87">
        <v>4</v>
      </c>
      <c r="G132" s="71"/>
      <c r="H132" s="95">
        <v>11</v>
      </c>
      <c r="I132" s="74"/>
      <c r="J132" s="96">
        <v>6</v>
      </c>
      <c r="K132" s="95">
        <v>11</v>
      </c>
      <c r="L132" s="74"/>
      <c r="M132" s="96">
        <v>8</v>
      </c>
      <c r="N132" s="95">
        <v>11</v>
      </c>
      <c r="O132" s="74"/>
      <c r="P132" s="96">
        <v>7</v>
      </c>
      <c r="Q132" s="102"/>
      <c r="R132" s="75"/>
      <c r="S132" s="103"/>
      <c r="T132" s="102"/>
      <c r="U132" s="75"/>
      <c r="V132" s="103"/>
      <c r="W132" s="73"/>
      <c r="X132" s="89">
        <f t="shared" si="12"/>
        <v>3</v>
      </c>
      <c r="Y132" s="75" t="s">
        <v>6</v>
      </c>
      <c r="Z132" s="97">
        <f t="shared" si="13"/>
        <v>0</v>
      </c>
      <c r="AA132" s="104" t="str">
        <f>IF(X132&gt;Z132,N124,IF(X132&lt;Z132,N126,0))</f>
        <v>Dimitri Bus</v>
      </c>
    </row>
    <row r="133" spans="1:27" ht="19.5" customHeight="1" thickBot="1">
      <c r="A133" s="195">
        <v>0.513888888888889</v>
      </c>
      <c r="B133" s="82" t="s">
        <v>17</v>
      </c>
      <c r="C133" s="88">
        <v>4</v>
      </c>
      <c r="D133" s="92">
        <v>1</v>
      </c>
      <c r="E133" s="93" t="s">
        <v>6</v>
      </c>
      <c r="F133" s="94">
        <v>2</v>
      </c>
      <c r="G133" s="91"/>
      <c r="H133" s="95">
        <v>10</v>
      </c>
      <c r="I133" s="74"/>
      <c r="J133" s="96">
        <v>12</v>
      </c>
      <c r="K133" s="95">
        <v>7</v>
      </c>
      <c r="L133" s="74"/>
      <c r="M133" s="96">
        <v>11</v>
      </c>
      <c r="N133" s="95">
        <v>11</v>
      </c>
      <c r="O133" s="74"/>
      <c r="P133" s="96">
        <v>8</v>
      </c>
      <c r="Q133" s="95">
        <v>11</v>
      </c>
      <c r="R133" s="74"/>
      <c r="S133" s="96">
        <v>9</v>
      </c>
      <c r="T133" s="95">
        <v>12</v>
      </c>
      <c r="U133" s="74"/>
      <c r="V133" s="96">
        <v>10</v>
      </c>
      <c r="W133" s="91"/>
      <c r="X133" s="89">
        <f t="shared" si="12"/>
        <v>3</v>
      </c>
      <c r="Y133" s="74" t="s">
        <v>6</v>
      </c>
      <c r="Z133" s="97">
        <f t="shared" si="13"/>
        <v>2</v>
      </c>
      <c r="AA133" s="98" t="str">
        <f>IF(X133&gt;Z133,N123,IF(X133&lt;Z133,N124,0))</f>
        <v>Agustí Sanz</v>
      </c>
    </row>
    <row r="134" spans="1:27" ht="19.5" customHeight="1" thickBot="1">
      <c r="A134" s="185">
        <v>0.5277777777777778</v>
      </c>
      <c r="B134" s="82" t="s">
        <v>17</v>
      </c>
      <c r="C134" s="99">
        <v>2</v>
      </c>
      <c r="D134" s="100">
        <v>3</v>
      </c>
      <c r="E134" s="101" t="s">
        <v>6</v>
      </c>
      <c r="F134" s="87">
        <v>4</v>
      </c>
      <c r="G134" s="71"/>
      <c r="H134" s="95">
        <v>5</v>
      </c>
      <c r="I134" s="74"/>
      <c r="J134" s="96">
        <v>11</v>
      </c>
      <c r="K134" s="95">
        <v>8</v>
      </c>
      <c r="L134" s="74"/>
      <c r="M134" s="96">
        <v>11</v>
      </c>
      <c r="N134" s="95">
        <v>5</v>
      </c>
      <c r="O134" s="74"/>
      <c r="P134" s="96">
        <v>11</v>
      </c>
      <c r="Q134" s="105"/>
      <c r="R134" s="76"/>
      <c r="S134" s="106"/>
      <c r="T134" s="105"/>
      <c r="U134" s="76"/>
      <c r="V134" s="106"/>
      <c r="W134" s="73"/>
      <c r="X134" s="107">
        <f t="shared" si="12"/>
        <v>0</v>
      </c>
      <c r="Y134" s="76" t="s">
        <v>6</v>
      </c>
      <c r="Z134" s="108">
        <f t="shared" si="13"/>
        <v>3</v>
      </c>
      <c r="AA134" s="109" t="str">
        <f>IF(X134&gt;Z134,N125,IF(X134&lt;Z134,N126,0))</f>
        <v>Marc Molina</v>
      </c>
    </row>
    <row r="135" spans="1:27" ht="15.75" thickBot="1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</row>
    <row r="136" spans="1:27" ht="6.75" customHeight="1" thickBot="1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</row>
    <row r="137" spans="1:27" ht="16.5" thickBot="1">
      <c r="A137" s="86" t="s">
        <v>36</v>
      </c>
      <c r="B137" s="87">
        <v>8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</row>
    <row r="138" spans="1:27" ht="6.75" customHeight="1" thickBot="1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</row>
    <row r="139" spans="1:27" ht="16.5" thickBot="1">
      <c r="A139" s="228" t="s">
        <v>0</v>
      </c>
      <c r="B139" s="229"/>
      <c r="C139" s="230"/>
      <c r="D139" s="203"/>
      <c r="E139" s="203"/>
      <c r="F139" s="71"/>
      <c r="G139" s="71"/>
      <c r="H139" s="71"/>
      <c r="I139" s="71"/>
      <c r="J139" s="71"/>
      <c r="K139" s="228" t="s">
        <v>2</v>
      </c>
      <c r="L139" s="229"/>
      <c r="M139" s="229"/>
      <c r="N139" s="229" t="s">
        <v>1</v>
      </c>
      <c r="O139" s="229"/>
      <c r="P139" s="229"/>
      <c r="Q139" s="229"/>
      <c r="R139" s="229"/>
      <c r="S139" s="229"/>
      <c r="T139" s="229"/>
      <c r="U139" s="229"/>
      <c r="V139" s="230"/>
      <c r="W139" s="71"/>
      <c r="X139" s="214" t="s">
        <v>35</v>
      </c>
      <c r="Y139" s="215"/>
      <c r="Z139" s="216"/>
      <c r="AA139" s="88" t="s">
        <v>38</v>
      </c>
    </row>
    <row r="140" spans="1:27" ht="15.75">
      <c r="A140" s="209">
        <v>29</v>
      </c>
      <c r="B140" s="210"/>
      <c r="C140" s="211"/>
      <c r="D140" s="203"/>
      <c r="E140" s="203"/>
      <c r="F140" s="203"/>
      <c r="G140" s="203"/>
      <c r="H140" s="203"/>
      <c r="I140" s="203"/>
      <c r="J140" s="71"/>
      <c r="K140" s="212">
        <v>1</v>
      </c>
      <c r="L140" s="213"/>
      <c r="M140" s="213"/>
      <c r="N140" s="223" t="str">
        <f>VLOOKUP(A140,'[4]Inscripcions'!$A$7:$B$209,2)</f>
        <v>Pere Porta</v>
      </c>
      <c r="O140" s="223"/>
      <c r="P140" s="223"/>
      <c r="Q140" s="223"/>
      <c r="R140" s="223"/>
      <c r="S140" s="223"/>
      <c r="T140" s="223"/>
      <c r="U140" s="223"/>
      <c r="V140" s="224"/>
      <c r="W140" s="71"/>
      <c r="X140" s="225">
        <f>IF(AA146=0,0,IF(N140=AA146,3,1))+IF(AA148=0,0,IF(N140=AA148,3,1))+IF(AA150=0,0,IF(N140=AA150,3,1))</f>
        <v>9</v>
      </c>
      <c r="Y140" s="226"/>
      <c r="Z140" s="227"/>
      <c r="AA140" s="84" t="str">
        <f>IF(X140&gt;8,"1r",IF(X140&gt;6,"2n",IF(X140&gt;3,"3r",IF(X140&gt;2,"4t",))))</f>
        <v>1r</v>
      </c>
    </row>
    <row r="141" spans="1:27" ht="15.75">
      <c r="A141" s="233">
        <v>30</v>
      </c>
      <c r="B141" s="234"/>
      <c r="C141" s="235"/>
      <c r="D141" s="203"/>
      <c r="E141" s="203"/>
      <c r="F141" s="203"/>
      <c r="G141" s="203"/>
      <c r="H141" s="203"/>
      <c r="I141" s="203"/>
      <c r="J141" s="71"/>
      <c r="K141" s="231">
        <v>2</v>
      </c>
      <c r="L141" s="232"/>
      <c r="M141" s="232"/>
      <c r="N141" s="223" t="str">
        <f>VLOOKUP(A141,'[4]Inscripcions'!$A$7:$B$209,2)</f>
        <v>Pau Vendrell</v>
      </c>
      <c r="O141" s="223"/>
      <c r="P141" s="223"/>
      <c r="Q141" s="223"/>
      <c r="R141" s="223"/>
      <c r="S141" s="223"/>
      <c r="T141" s="223"/>
      <c r="U141" s="223"/>
      <c r="V141" s="224"/>
      <c r="W141" s="71"/>
      <c r="X141" s="225">
        <f>IF(AA147=0,0,IF(N141=AA147,3,1))+IF(AA149=0,0,IF(N141=AA149,3,1))+IF(AA150=0,0,IF(N141=AA150,3,1))</f>
        <v>3</v>
      </c>
      <c r="Y141" s="226"/>
      <c r="Z141" s="227"/>
      <c r="AA141" s="83" t="str">
        <f>IF(X141&gt;8,"1r",IF(X141&gt;6,"2n",IF(X141&gt;3,"3r",IF(X141&gt;2,"4t",))))</f>
        <v>4t</v>
      </c>
    </row>
    <row r="142" spans="1:27" ht="15.75">
      <c r="A142" s="233">
        <v>31</v>
      </c>
      <c r="B142" s="234"/>
      <c r="C142" s="235"/>
      <c r="D142" s="203"/>
      <c r="E142" s="203"/>
      <c r="F142" s="203"/>
      <c r="G142" s="203"/>
      <c r="H142" s="203"/>
      <c r="I142" s="203"/>
      <c r="J142" s="71"/>
      <c r="K142" s="231">
        <v>3</v>
      </c>
      <c r="L142" s="232"/>
      <c r="M142" s="232"/>
      <c r="N142" s="223" t="str">
        <f>VLOOKUP(A142,'[4]Inscripcions'!$A$7:$B$209,2)</f>
        <v>Guillem Almacellas</v>
      </c>
      <c r="O142" s="223"/>
      <c r="P142" s="223"/>
      <c r="Q142" s="223"/>
      <c r="R142" s="223"/>
      <c r="S142" s="223"/>
      <c r="T142" s="223"/>
      <c r="U142" s="223"/>
      <c r="V142" s="224"/>
      <c r="W142" s="71"/>
      <c r="X142" s="225">
        <f>IF(AA147=0,0,IF(N142=AA147,3,1))+IF(AA148=0,0,IF(N142=AA148,3,1))+IF(AA151=0,0,IF(N142=AA151,3,1))</f>
        <v>5</v>
      </c>
      <c r="Y142" s="226"/>
      <c r="Z142" s="227"/>
      <c r="AA142" s="83" t="str">
        <f>IF(X142&gt;8,"1r",IF(X142&gt;6,"2n",IF(X142&gt;3,"3r",IF(X142&gt;2,"4t",))))</f>
        <v>3r</v>
      </c>
    </row>
    <row r="143" spans="1:27" ht="16.5" thickBot="1">
      <c r="A143" s="236">
        <v>32</v>
      </c>
      <c r="B143" s="237"/>
      <c r="C143" s="238"/>
      <c r="D143" s="203"/>
      <c r="E143" s="203"/>
      <c r="F143" s="203"/>
      <c r="G143" s="203"/>
      <c r="H143" s="203"/>
      <c r="I143" s="203"/>
      <c r="J143" s="71"/>
      <c r="K143" s="231">
        <v>4</v>
      </c>
      <c r="L143" s="232"/>
      <c r="M143" s="232"/>
      <c r="N143" s="223" t="str">
        <f>VLOOKUP(A143,'[4]Inscripcions'!$A$7:$B$209,2)</f>
        <v>Arnau Calvet</v>
      </c>
      <c r="O143" s="223"/>
      <c r="P143" s="223"/>
      <c r="Q143" s="223"/>
      <c r="R143" s="223"/>
      <c r="S143" s="223"/>
      <c r="T143" s="223"/>
      <c r="U143" s="223"/>
      <c r="V143" s="224"/>
      <c r="W143" s="71"/>
      <c r="X143" s="225">
        <f>IF(AA146=0,0,IF(N143=AA146,3,1))+IF(AA149=0,0,IF(N143=AA149,3,1))+IF(AA151=0,0,IF(N143=AA151,3,1))</f>
        <v>7</v>
      </c>
      <c r="Y143" s="226"/>
      <c r="Z143" s="227"/>
      <c r="AA143" s="83" t="str">
        <f>IF(X143&gt;8,"1r",IF(X143&gt;6,"2n",IF(X143&gt;3,"3r",IF(X143&gt;2,"4t",))))</f>
        <v>2n</v>
      </c>
    </row>
    <row r="144" spans="1:27" ht="6.75" customHeight="1" thickBot="1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</row>
    <row r="145" spans="1:27" ht="13.5" customHeight="1" thickBot="1">
      <c r="A145" s="90" t="s">
        <v>11</v>
      </c>
      <c r="B145" s="90" t="s">
        <v>14</v>
      </c>
      <c r="C145" s="90" t="s">
        <v>4</v>
      </c>
      <c r="D145" s="217" t="s">
        <v>3</v>
      </c>
      <c r="E145" s="218"/>
      <c r="F145" s="219"/>
      <c r="G145" s="91"/>
      <c r="H145" s="220" t="s">
        <v>5</v>
      </c>
      <c r="I145" s="221"/>
      <c r="J145" s="222"/>
      <c r="K145" s="220" t="s">
        <v>7</v>
      </c>
      <c r="L145" s="221"/>
      <c r="M145" s="222"/>
      <c r="N145" s="220" t="s">
        <v>8</v>
      </c>
      <c r="O145" s="221"/>
      <c r="P145" s="222"/>
      <c r="Q145" s="220" t="s">
        <v>9</v>
      </c>
      <c r="R145" s="221"/>
      <c r="S145" s="222"/>
      <c r="T145" s="220" t="s">
        <v>10</v>
      </c>
      <c r="U145" s="221"/>
      <c r="V145" s="222"/>
      <c r="W145" s="91"/>
      <c r="X145" s="220" t="s">
        <v>12</v>
      </c>
      <c r="Y145" s="221"/>
      <c r="Z145" s="222"/>
      <c r="AA145" s="90" t="s">
        <v>13</v>
      </c>
    </row>
    <row r="146" spans="1:27" ht="18" customHeight="1" thickBot="1">
      <c r="A146" s="185">
        <v>0.4583333333333333</v>
      </c>
      <c r="B146" s="82" t="s">
        <v>18</v>
      </c>
      <c r="C146" s="88">
        <v>3</v>
      </c>
      <c r="D146" s="92">
        <v>1</v>
      </c>
      <c r="E146" s="93" t="s">
        <v>6</v>
      </c>
      <c r="F146" s="94">
        <v>4</v>
      </c>
      <c r="G146" s="91"/>
      <c r="H146" s="95">
        <v>7</v>
      </c>
      <c r="I146" s="74"/>
      <c r="J146" s="96">
        <v>11</v>
      </c>
      <c r="K146" s="95">
        <v>10</v>
      </c>
      <c r="L146" s="74"/>
      <c r="M146" s="96">
        <v>12</v>
      </c>
      <c r="N146" s="95">
        <v>11</v>
      </c>
      <c r="O146" s="74"/>
      <c r="P146" s="96">
        <v>8</v>
      </c>
      <c r="Q146" s="95">
        <v>11</v>
      </c>
      <c r="R146" s="74"/>
      <c r="S146" s="96">
        <v>7</v>
      </c>
      <c r="T146" s="95">
        <v>11</v>
      </c>
      <c r="U146" s="74"/>
      <c r="V146" s="96">
        <v>7</v>
      </c>
      <c r="W146" s="91"/>
      <c r="X146" s="89">
        <f aca="true" t="shared" si="14" ref="X146:X151">IF(H146&gt;J146,1,0)+IF(K146&gt;M146,1,0)+IF(N146&gt;P146,1,0)+IF(Q146&gt;S146,1,0)+IF(T146&gt;V146,1,0)</f>
        <v>3</v>
      </c>
      <c r="Y146" s="74" t="s">
        <v>6</v>
      </c>
      <c r="Z146" s="97">
        <f aca="true" t="shared" si="15" ref="Z146:Z151">IF(H146&lt;J146,1,0)+IF(K146&lt;M146,1,0)+IF(N146&lt;P146,1,0)+IF(Q146&lt;S146,1,0)+IF(T146&lt;V146,1,0)</f>
        <v>2</v>
      </c>
      <c r="AA146" s="98" t="str">
        <f>IF(X146&gt;Z146,N140,IF(X146&lt;Z146,N143,0))</f>
        <v>Pere Porta</v>
      </c>
    </row>
    <row r="147" spans="1:27" ht="16.5" customHeight="1" thickBot="1">
      <c r="A147" s="195">
        <v>0.47222222222222227</v>
      </c>
      <c r="B147" s="82" t="s">
        <v>18</v>
      </c>
      <c r="C147" s="99">
        <v>1</v>
      </c>
      <c r="D147" s="100">
        <v>2</v>
      </c>
      <c r="E147" s="101" t="s">
        <v>6</v>
      </c>
      <c r="F147" s="87">
        <v>3</v>
      </c>
      <c r="G147" s="71"/>
      <c r="H147" s="95">
        <v>8</v>
      </c>
      <c r="I147" s="74"/>
      <c r="J147" s="96">
        <v>11</v>
      </c>
      <c r="K147" s="95">
        <v>8</v>
      </c>
      <c r="L147" s="74"/>
      <c r="M147" s="96">
        <v>11</v>
      </c>
      <c r="N147" s="95">
        <v>9</v>
      </c>
      <c r="O147" s="74"/>
      <c r="P147" s="96">
        <v>11</v>
      </c>
      <c r="Q147" s="102"/>
      <c r="R147" s="75"/>
      <c r="S147" s="103"/>
      <c r="T147" s="102"/>
      <c r="U147" s="75"/>
      <c r="V147" s="103"/>
      <c r="W147" s="73"/>
      <c r="X147" s="89">
        <f t="shared" si="14"/>
        <v>0</v>
      </c>
      <c r="Y147" s="75" t="s">
        <v>6</v>
      </c>
      <c r="Z147" s="97">
        <f t="shared" si="15"/>
        <v>3</v>
      </c>
      <c r="AA147" s="104" t="str">
        <f>IF(X147&gt;Z147,N141,IF(X147&lt;Z147,N142,0))</f>
        <v>Guillem Almacellas</v>
      </c>
    </row>
    <row r="148" spans="1:27" ht="17.25" customHeight="1" thickBot="1">
      <c r="A148" s="195">
        <v>0.4861111111111111</v>
      </c>
      <c r="B148" s="82" t="s">
        <v>18</v>
      </c>
      <c r="C148" s="88">
        <v>4</v>
      </c>
      <c r="D148" s="92">
        <v>1</v>
      </c>
      <c r="E148" s="93" t="s">
        <v>6</v>
      </c>
      <c r="F148" s="94">
        <v>3</v>
      </c>
      <c r="G148" s="91"/>
      <c r="H148" s="95">
        <v>11</v>
      </c>
      <c r="I148" s="74"/>
      <c r="J148" s="96">
        <v>5</v>
      </c>
      <c r="K148" s="95">
        <v>11</v>
      </c>
      <c r="L148" s="74"/>
      <c r="M148" s="96">
        <v>3</v>
      </c>
      <c r="N148" s="95">
        <v>11</v>
      </c>
      <c r="O148" s="74"/>
      <c r="P148" s="96">
        <v>7</v>
      </c>
      <c r="Q148" s="95"/>
      <c r="R148" s="74"/>
      <c r="S148" s="96"/>
      <c r="T148" s="95"/>
      <c r="U148" s="74"/>
      <c r="V148" s="96"/>
      <c r="W148" s="91"/>
      <c r="X148" s="89">
        <f t="shared" si="14"/>
        <v>3</v>
      </c>
      <c r="Y148" s="74" t="s">
        <v>6</v>
      </c>
      <c r="Z148" s="97">
        <f t="shared" si="15"/>
        <v>0</v>
      </c>
      <c r="AA148" s="98" t="str">
        <f>IF(X148&gt;Z148,N140,IF(X148&lt;Z148,N142,0))</f>
        <v>Pere Porta</v>
      </c>
    </row>
    <row r="149" spans="1:27" ht="17.25" customHeight="1" thickBot="1">
      <c r="A149" s="185">
        <v>0.5</v>
      </c>
      <c r="B149" s="82" t="s">
        <v>18</v>
      </c>
      <c r="C149" s="99">
        <v>3</v>
      </c>
      <c r="D149" s="100">
        <v>2</v>
      </c>
      <c r="E149" s="101" t="s">
        <v>6</v>
      </c>
      <c r="F149" s="87">
        <v>4</v>
      </c>
      <c r="G149" s="71"/>
      <c r="H149" s="95">
        <v>9</v>
      </c>
      <c r="I149" s="74"/>
      <c r="J149" s="96">
        <v>11</v>
      </c>
      <c r="K149" s="95">
        <v>5</v>
      </c>
      <c r="L149" s="74"/>
      <c r="M149" s="96">
        <v>11</v>
      </c>
      <c r="N149" s="95">
        <v>4</v>
      </c>
      <c r="O149" s="74"/>
      <c r="P149" s="96">
        <v>11</v>
      </c>
      <c r="Q149" s="102"/>
      <c r="R149" s="75"/>
      <c r="S149" s="103"/>
      <c r="T149" s="102"/>
      <c r="U149" s="75"/>
      <c r="V149" s="103"/>
      <c r="W149" s="73"/>
      <c r="X149" s="89">
        <f t="shared" si="14"/>
        <v>0</v>
      </c>
      <c r="Y149" s="75" t="s">
        <v>6</v>
      </c>
      <c r="Z149" s="97">
        <f t="shared" si="15"/>
        <v>3</v>
      </c>
      <c r="AA149" s="104" t="str">
        <f>IF(X149&gt;Z149,N141,IF(X149&lt;Z149,N143,0))</f>
        <v>Arnau Calvet</v>
      </c>
    </row>
    <row r="150" spans="1:27" ht="16.5" customHeight="1" thickBot="1">
      <c r="A150" s="195">
        <v>0.513888888888889</v>
      </c>
      <c r="B150" s="82" t="s">
        <v>18</v>
      </c>
      <c r="C150" s="88">
        <v>4</v>
      </c>
      <c r="D150" s="92">
        <v>1</v>
      </c>
      <c r="E150" s="93" t="s">
        <v>6</v>
      </c>
      <c r="F150" s="94">
        <v>2</v>
      </c>
      <c r="G150" s="91"/>
      <c r="H150" s="95">
        <v>11</v>
      </c>
      <c r="I150" s="74"/>
      <c r="J150" s="96">
        <v>2</v>
      </c>
      <c r="K150" s="95">
        <v>11</v>
      </c>
      <c r="L150" s="74"/>
      <c r="M150" s="96">
        <v>6</v>
      </c>
      <c r="N150" s="95">
        <v>11</v>
      </c>
      <c r="O150" s="74"/>
      <c r="P150" s="96">
        <v>3</v>
      </c>
      <c r="Q150" s="95"/>
      <c r="R150" s="74"/>
      <c r="S150" s="96"/>
      <c r="T150" s="95"/>
      <c r="U150" s="74"/>
      <c r="V150" s="96"/>
      <c r="W150" s="91"/>
      <c r="X150" s="89">
        <f t="shared" si="14"/>
        <v>3</v>
      </c>
      <c r="Y150" s="74" t="s">
        <v>6</v>
      </c>
      <c r="Z150" s="97">
        <f t="shared" si="15"/>
        <v>0</v>
      </c>
      <c r="AA150" s="98" t="str">
        <f>IF(X150&gt;Z150,N140,IF(X150&lt;Z150,N141,0))</f>
        <v>Pere Porta</v>
      </c>
    </row>
    <row r="151" spans="1:27" ht="19.5" customHeight="1" thickBot="1">
      <c r="A151" s="185">
        <v>0.5277777777777778</v>
      </c>
      <c r="B151" s="82" t="s">
        <v>18</v>
      </c>
      <c r="C151" s="99">
        <v>2</v>
      </c>
      <c r="D151" s="100">
        <v>3</v>
      </c>
      <c r="E151" s="101" t="s">
        <v>6</v>
      </c>
      <c r="F151" s="87">
        <v>4</v>
      </c>
      <c r="G151" s="71"/>
      <c r="H151" s="95">
        <v>4</v>
      </c>
      <c r="I151" s="74"/>
      <c r="J151" s="96">
        <v>11</v>
      </c>
      <c r="K151" s="95">
        <v>11</v>
      </c>
      <c r="L151" s="74"/>
      <c r="M151" s="96">
        <v>7</v>
      </c>
      <c r="N151" s="95">
        <v>11</v>
      </c>
      <c r="O151" s="74"/>
      <c r="P151" s="96">
        <v>9</v>
      </c>
      <c r="Q151" s="105">
        <v>9</v>
      </c>
      <c r="R151" s="76"/>
      <c r="S151" s="106">
        <v>11</v>
      </c>
      <c r="T151" s="105">
        <v>6</v>
      </c>
      <c r="U151" s="76"/>
      <c r="V151" s="106">
        <v>11</v>
      </c>
      <c r="W151" s="73"/>
      <c r="X151" s="107">
        <f t="shared" si="14"/>
        <v>2</v>
      </c>
      <c r="Y151" s="76" t="s">
        <v>6</v>
      </c>
      <c r="Z151" s="108">
        <f t="shared" si="15"/>
        <v>3</v>
      </c>
      <c r="AA151" s="109" t="str">
        <f>IF(X151&gt;Z151,N142,IF(X151&lt;Z151,N143,0))</f>
        <v>Arnau Calvet</v>
      </c>
    </row>
    <row r="152" spans="1:27" ht="15.75" thickBot="1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</row>
    <row r="153" spans="1:27" ht="6.75" customHeight="1" thickBot="1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</row>
    <row r="154" spans="1:27" ht="16.5" thickBot="1">
      <c r="A154" s="86" t="s">
        <v>36</v>
      </c>
      <c r="B154" s="87">
        <v>9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</row>
    <row r="155" spans="1:27" ht="6.75" customHeight="1" thickBot="1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</row>
    <row r="156" spans="1:27" ht="16.5" thickBot="1">
      <c r="A156" s="228" t="s">
        <v>0</v>
      </c>
      <c r="B156" s="229"/>
      <c r="C156" s="230"/>
      <c r="D156" s="203"/>
      <c r="E156" s="203"/>
      <c r="F156" s="71"/>
      <c r="G156" s="71"/>
      <c r="H156" s="71"/>
      <c r="I156" s="71"/>
      <c r="J156" s="71"/>
      <c r="K156" s="228" t="s">
        <v>2</v>
      </c>
      <c r="L156" s="229"/>
      <c r="M156" s="229"/>
      <c r="N156" s="229" t="s">
        <v>1</v>
      </c>
      <c r="O156" s="229"/>
      <c r="P156" s="229"/>
      <c r="Q156" s="229"/>
      <c r="R156" s="229"/>
      <c r="S156" s="229"/>
      <c r="T156" s="229"/>
      <c r="U156" s="229"/>
      <c r="V156" s="230"/>
      <c r="W156" s="71"/>
      <c r="X156" s="214" t="s">
        <v>35</v>
      </c>
      <c r="Y156" s="215"/>
      <c r="Z156" s="216"/>
      <c r="AA156" s="88" t="s">
        <v>38</v>
      </c>
    </row>
    <row r="157" spans="1:27" ht="15.75">
      <c r="A157" s="209">
        <v>33</v>
      </c>
      <c r="B157" s="210"/>
      <c r="C157" s="211"/>
      <c r="D157" s="203"/>
      <c r="E157" s="203"/>
      <c r="F157" s="203"/>
      <c r="G157" s="203"/>
      <c r="H157" s="203"/>
      <c r="I157" s="203"/>
      <c r="J157" s="71"/>
      <c r="K157" s="212">
        <v>1</v>
      </c>
      <c r="L157" s="213"/>
      <c r="M157" s="213"/>
      <c r="N157" s="223" t="str">
        <f>VLOOKUP(A157,'[4]Inscripcions'!$A$7:$B$209,2)</f>
        <v>Arnau Ferre</v>
      </c>
      <c r="O157" s="223"/>
      <c r="P157" s="223"/>
      <c r="Q157" s="223"/>
      <c r="R157" s="223"/>
      <c r="S157" s="223"/>
      <c r="T157" s="223"/>
      <c r="U157" s="223"/>
      <c r="V157" s="224"/>
      <c r="W157" s="71"/>
      <c r="X157" s="225">
        <f>IF(AA163=0,0,IF(N157=AA163,3,1))+IF(AA165=0,0,IF(N157=AA165,3,1))+IF(AA167=0,0,IF(N157=AA167,3,1))</f>
        <v>9</v>
      </c>
      <c r="Y157" s="226"/>
      <c r="Z157" s="227"/>
      <c r="AA157" s="84" t="str">
        <f>IF(X157&gt;8,"1r",IF(X157&gt;6,"2n",IF(X157&gt;3,"3r",IF(X157&gt;2,"4t",))))</f>
        <v>1r</v>
      </c>
    </row>
    <row r="158" spans="1:27" ht="15.75">
      <c r="A158" s="233">
        <v>34</v>
      </c>
      <c r="B158" s="234"/>
      <c r="C158" s="235"/>
      <c r="D158" s="203"/>
      <c r="E158" s="203"/>
      <c r="F158" s="203"/>
      <c r="G158" s="203"/>
      <c r="H158" s="203"/>
      <c r="I158" s="203"/>
      <c r="J158" s="71"/>
      <c r="K158" s="231">
        <v>2</v>
      </c>
      <c r="L158" s="232"/>
      <c r="M158" s="232"/>
      <c r="N158" s="223" t="str">
        <f>VLOOKUP(A158,'[4]Inscripcions'!$A$7:$B$209,2)</f>
        <v>Josep Garcia</v>
      </c>
      <c r="O158" s="223"/>
      <c r="P158" s="223"/>
      <c r="Q158" s="223"/>
      <c r="R158" s="223"/>
      <c r="S158" s="223"/>
      <c r="T158" s="223"/>
      <c r="U158" s="223"/>
      <c r="V158" s="224"/>
      <c r="W158" s="71"/>
      <c r="X158" s="225">
        <f>IF(AA164=0,0,IF(N158=AA164,3,1))+IF(AA166=0,0,IF(N158=AA166,3,1))+IF(AA167=0,0,IF(N158=AA167,3,1))</f>
        <v>5</v>
      </c>
      <c r="Y158" s="226"/>
      <c r="Z158" s="227"/>
      <c r="AA158" s="83" t="str">
        <f>IF(X158&gt;8,"1r",IF(X158&gt;6,"2n",IF(X158&gt;3,"3r",IF(X158&gt;2,"4t",))))</f>
        <v>3r</v>
      </c>
    </row>
    <row r="159" spans="1:27" ht="15.75">
      <c r="A159" s="209">
        <v>35</v>
      </c>
      <c r="B159" s="210"/>
      <c r="C159" s="211"/>
      <c r="D159" s="203"/>
      <c r="E159" s="203"/>
      <c r="F159" s="203"/>
      <c r="G159" s="203"/>
      <c r="H159" s="203"/>
      <c r="I159" s="203"/>
      <c r="J159" s="71"/>
      <c r="K159" s="231">
        <v>3</v>
      </c>
      <c r="L159" s="232"/>
      <c r="M159" s="232"/>
      <c r="N159" s="223" t="str">
        <f>VLOOKUP(A159,'[4]Inscripcions'!$A$7:$B$209,2)</f>
        <v>Francesc Juncosa</v>
      </c>
      <c r="O159" s="223"/>
      <c r="P159" s="223"/>
      <c r="Q159" s="223"/>
      <c r="R159" s="223"/>
      <c r="S159" s="223"/>
      <c r="T159" s="223"/>
      <c r="U159" s="223"/>
      <c r="V159" s="224"/>
      <c r="W159" s="71"/>
      <c r="X159" s="225">
        <f>IF(AA164=0,0,IF(N159=AA164,3,1))+IF(AA165=0,0,IF(N159=AA165,3,1))+IF(AA168=0,0,IF(N159=AA168,3,1))</f>
        <v>3</v>
      </c>
      <c r="Y159" s="226"/>
      <c r="Z159" s="227"/>
      <c r="AA159" s="83" t="str">
        <f>IF(X159&gt;8,"1r",IF(X159&gt;6,"2n",IF(X159&gt;3,"3r",IF(X159&gt;2,"4t",))))</f>
        <v>4t</v>
      </c>
    </row>
    <row r="160" spans="1:27" ht="15.75">
      <c r="A160" s="233">
        <v>36</v>
      </c>
      <c r="B160" s="234"/>
      <c r="C160" s="235"/>
      <c r="D160" s="203"/>
      <c r="E160" s="203"/>
      <c r="F160" s="203"/>
      <c r="G160" s="203"/>
      <c r="H160" s="203"/>
      <c r="I160" s="203"/>
      <c r="J160" s="71"/>
      <c r="K160" s="231">
        <v>4</v>
      </c>
      <c r="L160" s="232"/>
      <c r="M160" s="232"/>
      <c r="N160" s="223" t="str">
        <f>VLOOKUP(A160,'[4]Inscripcions'!$A$7:$B$209,2)</f>
        <v>Joan Palau</v>
      </c>
      <c r="O160" s="223"/>
      <c r="P160" s="223"/>
      <c r="Q160" s="223"/>
      <c r="R160" s="223"/>
      <c r="S160" s="223"/>
      <c r="T160" s="223"/>
      <c r="U160" s="223"/>
      <c r="V160" s="224"/>
      <c r="W160" s="71"/>
      <c r="X160" s="225">
        <f>IF(AA163=0,0,IF(N160=AA163,3,1))+IF(AA166=0,0,IF(N160=AA166,3,1))+IF(AA168=0,0,IF(N160=AA168,3,1))</f>
        <v>7</v>
      </c>
      <c r="Y160" s="226"/>
      <c r="Z160" s="227"/>
      <c r="AA160" s="83" t="str">
        <f>IF(X160&gt;8,"1r",IF(X160&gt;6,"2n",IF(X160&gt;3,"3r",IF(X160&gt;2,"4t",))))</f>
        <v>2n</v>
      </c>
    </row>
    <row r="161" spans="1:27" ht="6.75" customHeight="1" thickBot="1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</row>
    <row r="162" spans="1:27" ht="13.5" customHeight="1" thickBot="1">
      <c r="A162" s="90" t="s">
        <v>11</v>
      </c>
      <c r="B162" s="90" t="s">
        <v>14</v>
      </c>
      <c r="C162" s="90" t="s">
        <v>4</v>
      </c>
      <c r="D162" s="217" t="s">
        <v>3</v>
      </c>
      <c r="E162" s="218"/>
      <c r="F162" s="219"/>
      <c r="G162" s="91"/>
      <c r="H162" s="220" t="s">
        <v>5</v>
      </c>
      <c r="I162" s="221"/>
      <c r="J162" s="222"/>
      <c r="K162" s="220" t="s">
        <v>7</v>
      </c>
      <c r="L162" s="221"/>
      <c r="M162" s="222"/>
      <c r="N162" s="220" t="s">
        <v>8</v>
      </c>
      <c r="O162" s="221"/>
      <c r="P162" s="222"/>
      <c r="Q162" s="220" t="s">
        <v>9</v>
      </c>
      <c r="R162" s="221"/>
      <c r="S162" s="222"/>
      <c r="T162" s="220" t="s">
        <v>10</v>
      </c>
      <c r="U162" s="221"/>
      <c r="V162" s="222"/>
      <c r="W162" s="91"/>
      <c r="X162" s="220" t="s">
        <v>12</v>
      </c>
      <c r="Y162" s="221"/>
      <c r="Z162" s="222"/>
      <c r="AA162" s="90" t="s">
        <v>13</v>
      </c>
    </row>
    <row r="163" spans="1:27" ht="15.75" customHeight="1" thickBot="1">
      <c r="A163" s="185">
        <v>0.4583333333333333</v>
      </c>
      <c r="B163" s="82" t="s">
        <v>39</v>
      </c>
      <c r="C163" s="88">
        <v>3</v>
      </c>
      <c r="D163" s="92">
        <v>1</v>
      </c>
      <c r="E163" s="93" t="s">
        <v>6</v>
      </c>
      <c r="F163" s="94">
        <v>4</v>
      </c>
      <c r="G163" s="91"/>
      <c r="H163" s="95">
        <v>11</v>
      </c>
      <c r="I163" s="74"/>
      <c r="J163" s="96">
        <v>5</v>
      </c>
      <c r="K163" s="95">
        <v>13</v>
      </c>
      <c r="L163" s="74"/>
      <c r="M163" s="96">
        <v>11</v>
      </c>
      <c r="N163" s="95">
        <v>11</v>
      </c>
      <c r="O163" s="74"/>
      <c r="P163" s="96">
        <v>6</v>
      </c>
      <c r="Q163" s="95"/>
      <c r="R163" s="74"/>
      <c r="S163" s="96"/>
      <c r="T163" s="95"/>
      <c r="U163" s="74"/>
      <c r="V163" s="96"/>
      <c r="W163" s="91"/>
      <c r="X163" s="89">
        <f aca="true" t="shared" si="16" ref="X163:X168">IF(H163&gt;J163,1,0)+IF(K163&gt;M163,1,0)+IF(N163&gt;P163,1,0)+IF(Q163&gt;S163,1,0)+IF(T163&gt;V163,1,0)</f>
        <v>3</v>
      </c>
      <c r="Y163" s="74" t="s">
        <v>6</v>
      </c>
      <c r="Z163" s="97">
        <f aca="true" t="shared" si="17" ref="Z163:Z168">IF(H163&lt;J163,1,0)+IF(K163&lt;M163,1,0)+IF(N163&lt;P163,1,0)+IF(Q163&lt;S163,1,0)+IF(T163&lt;V163,1,0)</f>
        <v>0</v>
      </c>
      <c r="AA163" s="98" t="str">
        <f>IF(X163&gt;Z163,N157,IF(X163&lt;Z163,N160,0))</f>
        <v>Arnau Ferre</v>
      </c>
    </row>
    <row r="164" spans="1:27" ht="16.5" customHeight="1" thickBot="1">
      <c r="A164" s="195">
        <v>0.47222222222222227</v>
      </c>
      <c r="B164" s="82" t="s">
        <v>39</v>
      </c>
      <c r="C164" s="99">
        <v>1</v>
      </c>
      <c r="D164" s="100">
        <v>2</v>
      </c>
      <c r="E164" s="101" t="s">
        <v>6</v>
      </c>
      <c r="F164" s="87">
        <v>3</v>
      </c>
      <c r="G164" s="71"/>
      <c r="H164" s="95">
        <v>11</v>
      </c>
      <c r="I164" s="74"/>
      <c r="J164" s="96">
        <v>4</v>
      </c>
      <c r="K164" s="95">
        <v>11</v>
      </c>
      <c r="L164" s="74"/>
      <c r="M164" s="96">
        <v>4</v>
      </c>
      <c r="N164" s="95">
        <v>11</v>
      </c>
      <c r="O164" s="74"/>
      <c r="P164" s="96">
        <v>9</v>
      </c>
      <c r="Q164" s="102"/>
      <c r="R164" s="75"/>
      <c r="S164" s="103"/>
      <c r="T164" s="102"/>
      <c r="U164" s="75"/>
      <c r="V164" s="103"/>
      <c r="W164" s="73"/>
      <c r="X164" s="89">
        <f t="shared" si="16"/>
        <v>3</v>
      </c>
      <c r="Y164" s="75" t="s">
        <v>6</v>
      </c>
      <c r="Z164" s="97">
        <f t="shared" si="17"/>
        <v>0</v>
      </c>
      <c r="AA164" s="104" t="str">
        <f>IF(X164&gt;Z164,N158,IF(X164&lt;Z164,N159,0))</f>
        <v>Josep Garcia</v>
      </c>
    </row>
    <row r="165" spans="1:27" ht="18" customHeight="1" thickBot="1">
      <c r="A165" s="195">
        <v>0.4861111111111111</v>
      </c>
      <c r="B165" s="82" t="s">
        <v>39</v>
      </c>
      <c r="C165" s="88">
        <v>4</v>
      </c>
      <c r="D165" s="92">
        <v>1</v>
      </c>
      <c r="E165" s="93" t="s">
        <v>6</v>
      </c>
      <c r="F165" s="94">
        <v>3</v>
      </c>
      <c r="G165" s="91"/>
      <c r="H165" s="95">
        <v>11</v>
      </c>
      <c r="I165" s="74"/>
      <c r="J165" s="96">
        <v>5</v>
      </c>
      <c r="K165" s="95">
        <v>11</v>
      </c>
      <c r="L165" s="74"/>
      <c r="M165" s="96">
        <v>8</v>
      </c>
      <c r="N165" s="95">
        <v>11</v>
      </c>
      <c r="O165" s="74"/>
      <c r="P165" s="96">
        <v>4</v>
      </c>
      <c r="Q165" s="95"/>
      <c r="R165" s="74"/>
      <c r="S165" s="96"/>
      <c r="T165" s="95"/>
      <c r="U165" s="74"/>
      <c r="V165" s="96"/>
      <c r="W165" s="91"/>
      <c r="X165" s="89">
        <f t="shared" si="16"/>
        <v>3</v>
      </c>
      <c r="Y165" s="74" t="s">
        <v>6</v>
      </c>
      <c r="Z165" s="97">
        <f t="shared" si="17"/>
        <v>0</v>
      </c>
      <c r="AA165" s="98" t="str">
        <f>IF(X165&gt;Z165,N157,IF(X165&lt;Z165,N159,0))</f>
        <v>Arnau Ferre</v>
      </c>
    </row>
    <row r="166" spans="1:27" ht="16.5" customHeight="1" thickBot="1">
      <c r="A166" s="185">
        <v>0.5</v>
      </c>
      <c r="B166" s="82" t="s">
        <v>39</v>
      </c>
      <c r="C166" s="99">
        <v>3</v>
      </c>
      <c r="D166" s="100">
        <v>2</v>
      </c>
      <c r="E166" s="101" t="s">
        <v>6</v>
      </c>
      <c r="F166" s="87">
        <v>4</v>
      </c>
      <c r="G166" s="71"/>
      <c r="H166" s="95">
        <v>6</v>
      </c>
      <c r="I166" s="74"/>
      <c r="J166" s="96">
        <v>11</v>
      </c>
      <c r="K166" s="95">
        <v>11</v>
      </c>
      <c r="L166" s="74"/>
      <c r="M166" s="96">
        <v>13</v>
      </c>
      <c r="N166" s="95">
        <v>6</v>
      </c>
      <c r="O166" s="74"/>
      <c r="P166" s="96">
        <v>11</v>
      </c>
      <c r="Q166" s="102"/>
      <c r="R166" s="75"/>
      <c r="S166" s="103"/>
      <c r="T166" s="102"/>
      <c r="U166" s="75"/>
      <c r="V166" s="103"/>
      <c r="W166" s="73"/>
      <c r="X166" s="89">
        <f t="shared" si="16"/>
        <v>0</v>
      </c>
      <c r="Y166" s="75" t="s">
        <v>6</v>
      </c>
      <c r="Z166" s="97">
        <f t="shared" si="17"/>
        <v>3</v>
      </c>
      <c r="AA166" s="104" t="str">
        <f>IF(X166&gt;Z166,N158,IF(X166&lt;Z166,N160,0))</f>
        <v>Joan Palau</v>
      </c>
    </row>
    <row r="167" spans="1:27" ht="17.25" customHeight="1" thickBot="1">
      <c r="A167" s="195">
        <v>0.513888888888889</v>
      </c>
      <c r="B167" s="82" t="s">
        <v>39</v>
      </c>
      <c r="C167" s="88">
        <v>4</v>
      </c>
      <c r="D167" s="92">
        <v>1</v>
      </c>
      <c r="E167" s="93" t="s">
        <v>6</v>
      </c>
      <c r="F167" s="94">
        <v>2</v>
      </c>
      <c r="G167" s="91"/>
      <c r="H167" s="95">
        <v>13</v>
      </c>
      <c r="I167" s="74"/>
      <c r="J167" s="96">
        <v>11</v>
      </c>
      <c r="K167" s="95">
        <v>11</v>
      </c>
      <c r="L167" s="74"/>
      <c r="M167" s="96">
        <v>5</v>
      </c>
      <c r="N167" s="95">
        <v>11</v>
      </c>
      <c r="O167" s="74"/>
      <c r="P167" s="96">
        <v>7</v>
      </c>
      <c r="Q167" s="95"/>
      <c r="R167" s="74"/>
      <c r="S167" s="96"/>
      <c r="T167" s="95"/>
      <c r="U167" s="74"/>
      <c r="V167" s="96"/>
      <c r="W167" s="91"/>
      <c r="X167" s="89">
        <f t="shared" si="16"/>
        <v>3</v>
      </c>
      <c r="Y167" s="74" t="s">
        <v>6</v>
      </c>
      <c r="Z167" s="97">
        <f t="shared" si="17"/>
        <v>0</v>
      </c>
      <c r="AA167" s="98" t="str">
        <f>IF(X167&gt;Z167,N157,IF(X167&lt;Z167,N158,0))</f>
        <v>Arnau Ferre</v>
      </c>
    </row>
    <row r="168" spans="1:27" ht="17.25" customHeight="1" thickBot="1">
      <c r="A168" s="185">
        <v>0.5277777777777778</v>
      </c>
      <c r="B168" s="82" t="s">
        <v>39</v>
      </c>
      <c r="C168" s="99">
        <v>2</v>
      </c>
      <c r="D168" s="100">
        <v>3</v>
      </c>
      <c r="E168" s="101" t="s">
        <v>6</v>
      </c>
      <c r="F168" s="87">
        <v>4</v>
      </c>
      <c r="G168" s="71"/>
      <c r="H168" s="95">
        <v>3</v>
      </c>
      <c r="I168" s="74"/>
      <c r="J168" s="96">
        <v>11</v>
      </c>
      <c r="K168" s="95">
        <v>9</v>
      </c>
      <c r="L168" s="74"/>
      <c r="M168" s="96">
        <v>11</v>
      </c>
      <c r="N168" s="95">
        <v>8</v>
      </c>
      <c r="O168" s="74"/>
      <c r="P168" s="96">
        <v>11</v>
      </c>
      <c r="Q168" s="105"/>
      <c r="R168" s="76"/>
      <c r="S168" s="106"/>
      <c r="T168" s="105"/>
      <c r="U168" s="76"/>
      <c r="V168" s="106"/>
      <c r="W168" s="73"/>
      <c r="X168" s="107">
        <f t="shared" si="16"/>
        <v>0</v>
      </c>
      <c r="Y168" s="76" t="s">
        <v>6</v>
      </c>
      <c r="Z168" s="108">
        <f t="shared" si="17"/>
        <v>3</v>
      </c>
      <c r="AA168" s="109" t="str">
        <f>IF(X168&gt;Z168,N159,IF(X168&lt;Z168,N160,0))</f>
        <v>Joan Palau</v>
      </c>
    </row>
    <row r="169" spans="1:27" ht="15.75" thickBot="1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</row>
    <row r="170" spans="1:27" ht="6.75" customHeight="1" thickBot="1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</row>
    <row r="171" spans="1:27" ht="16.5" thickBot="1">
      <c r="A171" s="86" t="s">
        <v>36</v>
      </c>
      <c r="B171" s="87">
        <v>10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</row>
    <row r="172" spans="1:27" ht="6.75" customHeight="1" thickBot="1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</row>
    <row r="173" spans="1:27" ht="16.5" thickBot="1">
      <c r="A173" s="228" t="s">
        <v>0</v>
      </c>
      <c r="B173" s="229"/>
      <c r="C173" s="230"/>
      <c r="D173" s="203"/>
      <c r="E173" s="203"/>
      <c r="F173" s="71"/>
      <c r="G173" s="71"/>
      <c r="H173" s="71"/>
      <c r="I173" s="71"/>
      <c r="J173" s="71"/>
      <c r="K173" s="228" t="s">
        <v>2</v>
      </c>
      <c r="L173" s="229"/>
      <c r="M173" s="229"/>
      <c r="N173" s="229" t="s">
        <v>1</v>
      </c>
      <c r="O173" s="229"/>
      <c r="P173" s="229"/>
      <c r="Q173" s="229"/>
      <c r="R173" s="229"/>
      <c r="S173" s="229"/>
      <c r="T173" s="229"/>
      <c r="U173" s="229"/>
      <c r="V173" s="230"/>
      <c r="W173" s="71"/>
      <c r="X173" s="214" t="s">
        <v>35</v>
      </c>
      <c r="Y173" s="215"/>
      <c r="Z173" s="216"/>
      <c r="AA173" s="88" t="s">
        <v>38</v>
      </c>
    </row>
    <row r="174" spans="1:27" ht="15.75">
      <c r="A174" s="209">
        <v>37</v>
      </c>
      <c r="B174" s="210"/>
      <c r="C174" s="211"/>
      <c r="D174" s="203"/>
      <c r="E174" s="203"/>
      <c r="F174" s="203"/>
      <c r="G174" s="203"/>
      <c r="H174" s="203"/>
      <c r="I174" s="203"/>
      <c r="J174" s="71"/>
      <c r="K174" s="212">
        <v>1</v>
      </c>
      <c r="L174" s="213"/>
      <c r="M174" s="213"/>
      <c r="N174" s="223" t="str">
        <f>VLOOKUP(A174,'[4]Inscripcions'!$A$7:$B$209,2)</f>
        <v>Pol Patau</v>
      </c>
      <c r="O174" s="223"/>
      <c r="P174" s="223"/>
      <c r="Q174" s="223"/>
      <c r="R174" s="223"/>
      <c r="S174" s="223"/>
      <c r="T174" s="223"/>
      <c r="U174" s="223"/>
      <c r="V174" s="224"/>
      <c r="W174" s="71"/>
      <c r="X174" s="225">
        <f>IF(AA180=0,0,IF(N174=AA180,3,1))+IF(AA182=0,0,IF(N174=AA182,3,1))+IF(AA184=0,0,IF(N174=AA184,3,1))</f>
        <v>7</v>
      </c>
      <c r="Y174" s="226"/>
      <c r="Z174" s="227"/>
      <c r="AA174" s="84" t="s">
        <v>272</v>
      </c>
    </row>
    <row r="175" spans="1:27" ht="15.75">
      <c r="A175" s="233">
        <v>38</v>
      </c>
      <c r="B175" s="234"/>
      <c r="C175" s="235"/>
      <c r="D175" s="203"/>
      <c r="E175" s="203"/>
      <c r="F175" s="203"/>
      <c r="G175" s="203"/>
      <c r="H175" s="203"/>
      <c r="I175" s="203"/>
      <c r="J175" s="71"/>
      <c r="K175" s="231">
        <v>2</v>
      </c>
      <c r="L175" s="232"/>
      <c r="M175" s="232"/>
      <c r="N175" s="223" t="str">
        <f>VLOOKUP(A175,'[4]Inscripcions'!$A$7:$B$209,2)</f>
        <v>Jaume Cordoba</v>
      </c>
      <c r="O175" s="223"/>
      <c r="P175" s="223"/>
      <c r="Q175" s="223"/>
      <c r="R175" s="223"/>
      <c r="S175" s="223"/>
      <c r="T175" s="223"/>
      <c r="U175" s="223"/>
      <c r="V175" s="224"/>
      <c r="W175" s="71"/>
      <c r="X175" s="225">
        <f>IF(AA181=0,0,IF(N175=AA181,3,1))+IF(AA183=0,0,IF(N175=AA183,3,1))+IF(AA184=0,0,IF(N175=AA184,3,1))</f>
        <v>5</v>
      </c>
      <c r="Y175" s="226"/>
      <c r="Z175" s="227"/>
      <c r="AA175" s="83" t="str">
        <f>IF(X175&gt;8,"1r",IF(X175&gt;6,"2n",IF(X175&gt;3,"3r",IF(X175&gt;2,"4t",))))</f>
        <v>3r</v>
      </c>
    </row>
    <row r="176" spans="1:27" ht="15.75">
      <c r="A176" s="209">
        <v>39</v>
      </c>
      <c r="B176" s="210"/>
      <c r="C176" s="211"/>
      <c r="D176" s="203"/>
      <c r="E176" s="203"/>
      <c r="F176" s="203"/>
      <c r="G176" s="203"/>
      <c r="H176" s="203"/>
      <c r="I176" s="203"/>
      <c r="J176" s="71"/>
      <c r="K176" s="231">
        <v>3</v>
      </c>
      <c r="L176" s="232"/>
      <c r="M176" s="232"/>
      <c r="N176" s="223" t="str">
        <f>VLOOKUP(A176,'[4]Inscripcions'!$A$7:$B$209,2)</f>
        <v>Carles Bascompte</v>
      </c>
      <c r="O176" s="223"/>
      <c r="P176" s="223"/>
      <c r="Q176" s="223"/>
      <c r="R176" s="223"/>
      <c r="S176" s="223"/>
      <c r="T176" s="223"/>
      <c r="U176" s="223"/>
      <c r="V176" s="224"/>
      <c r="W176" s="71"/>
      <c r="X176" s="225">
        <f>IF(AA181=0,0,IF(N176=AA181,3,1))+IF(AA182=0,0,IF(N176=AA182,3,1))+IF(AA185=0,0,IF(N176=AA185,3,1))</f>
        <v>5</v>
      </c>
      <c r="Y176" s="226"/>
      <c r="Z176" s="227"/>
      <c r="AA176" s="83" t="s">
        <v>273</v>
      </c>
    </row>
    <row r="177" spans="1:27" ht="15.75">
      <c r="A177" s="233">
        <v>40</v>
      </c>
      <c r="B177" s="234"/>
      <c r="C177" s="235"/>
      <c r="D177" s="203"/>
      <c r="E177" s="203"/>
      <c r="F177" s="203"/>
      <c r="G177" s="203"/>
      <c r="H177" s="203"/>
      <c r="I177" s="203"/>
      <c r="J177" s="71"/>
      <c r="K177" s="231">
        <v>4</v>
      </c>
      <c r="L177" s="232"/>
      <c r="M177" s="232"/>
      <c r="N177" s="223" t="str">
        <f>VLOOKUP(A177,'[4]Inscripcions'!$A$7:$B$209,2)</f>
        <v>Aleix Farrero</v>
      </c>
      <c r="O177" s="223"/>
      <c r="P177" s="223"/>
      <c r="Q177" s="223"/>
      <c r="R177" s="223"/>
      <c r="S177" s="223"/>
      <c r="T177" s="223"/>
      <c r="U177" s="223"/>
      <c r="V177" s="224"/>
      <c r="W177" s="71"/>
      <c r="X177" s="225">
        <f>IF(AA180=0,0,IF(N177=AA180,3,1))+IF(AA183=0,0,IF(N177=AA183,3,1))+IF(AA185=0,0,IF(N177=AA185,3,1))</f>
        <v>7</v>
      </c>
      <c r="Y177" s="226"/>
      <c r="Z177" s="227"/>
      <c r="AA177" s="83" t="str">
        <f>IF(X177&gt;8,"1r",IF(X177&gt;6,"2n",IF(X177&gt;3,"3r",IF(X177&gt;2,"4t",))))</f>
        <v>2n</v>
      </c>
    </row>
    <row r="178" spans="1:27" ht="6.75" customHeight="1" thickBot="1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</row>
    <row r="179" spans="1:27" ht="13.5" customHeight="1" thickBot="1">
      <c r="A179" s="90" t="s">
        <v>11</v>
      </c>
      <c r="B179" s="90" t="s">
        <v>14</v>
      </c>
      <c r="C179" s="90" t="s">
        <v>4</v>
      </c>
      <c r="D179" s="217" t="s">
        <v>3</v>
      </c>
      <c r="E179" s="218"/>
      <c r="F179" s="219"/>
      <c r="G179" s="91"/>
      <c r="H179" s="220" t="s">
        <v>5</v>
      </c>
      <c r="I179" s="221"/>
      <c r="J179" s="222"/>
      <c r="K179" s="220" t="s">
        <v>7</v>
      </c>
      <c r="L179" s="221"/>
      <c r="M179" s="222"/>
      <c r="N179" s="220" t="s">
        <v>8</v>
      </c>
      <c r="O179" s="221"/>
      <c r="P179" s="222"/>
      <c r="Q179" s="220" t="s">
        <v>9</v>
      </c>
      <c r="R179" s="221"/>
      <c r="S179" s="222"/>
      <c r="T179" s="220" t="s">
        <v>10</v>
      </c>
      <c r="U179" s="221"/>
      <c r="V179" s="222"/>
      <c r="W179" s="91"/>
      <c r="X179" s="220" t="s">
        <v>12</v>
      </c>
      <c r="Y179" s="221"/>
      <c r="Z179" s="222"/>
      <c r="AA179" s="90" t="s">
        <v>13</v>
      </c>
    </row>
    <row r="180" spans="1:27" ht="16.5" customHeight="1" thickBot="1">
      <c r="A180" s="195">
        <v>0.375</v>
      </c>
      <c r="B180" s="82" t="s">
        <v>43</v>
      </c>
      <c r="C180" s="88">
        <v>3</v>
      </c>
      <c r="D180" s="92">
        <v>1</v>
      </c>
      <c r="E180" s="93" t="s">
        <v>6</v>
      </c>
      <c r="F180" s="94">
        <v>4</v>
      </c>
      <c r="G180" s="91"/>
      <c r="H180" s="95">
        <v>12</v>
      </c>
      <c r="I180" s="74"/>
      <c r="J180" s="96">
        <v>10</v>
      </c>
      <c r="K180" s="95">
        <v>9</v>
      </c>
      <c r="L180" s="74"/>
      <c r="M180" s="96">
        <v>11</v>
      </c>
      <c r="N180" s="95">
        <v>12</v>
      </c>
      <c r="O180" s="74"/>
      <c r="P180" s="96">
        <v>10</v>
      </c>
      <c r="Q180" s="95">
        <v>11</v>
      </c>
      <c r="R180" s="74"/>
      <c r="S180" s="96">
        <v>7</v>
      </c>
      <c r="T180" s="95"/>
      <c r="U180" s="74"/>
      <c r="V180" s="96"/>
      <c r="W180" s="91"/>
      <c r="X180" s="89">
        <f aca="true" t="shared" si="18" ref="X180:X185">IF(H180&gt;J180,1,0)+IF(K180&gt;M180,1,0)+IF(N180&gt;P180,1,0)+IF(Q180&gt;S180,1,0)+IF(T180&gt;V180,1,0)</f>
        <v>3</v>
      </c>
      <c r="Y180" s="74" t="s">
        <v>6</v>
      </c>
      <c r="Z180" s="97">
        <f aca="true" t="shared" si="19" ref="Z180:Z185">IF(H180&lt;J180,1,0)+IF(K180&lt;M180,1,0)+IF(N180&lt;P180,1,0)+IF(Q180&lt;S180,1,0)+IF(T180&lt;V180,1,0)</f>
        <v>1</v>
      </c>
      <c r="AA180" s="98" t="str">
        <f>IF(X180&gt;Z180,N174,IF(X180&lt;Z180,N177,0))</f>
        <v>Pol Patau</v>
      </c>
    </row>
    <row r="181" spans="1:27" ht="17.25" customHeight="1" thickBot="1">
      <c r="A181" s="185">
        <v>0.3888888888888889</v>
      </c>
      <c r="B181" s="82" t="s">
        <v>43</v>
      </c>
      <c r="C181" s="99">
        <v>1</v>
      </c>
      <c r="D181" s="100">
        <v>2</v>
      </c>
      <c r="E181" s="101" t="s">
        <v>6</v>
      </c>
      <c r="F181" s="87">
        <v>3</v>
      </c>
      <c r="G181" s="71"/>
      <c r="H181" s="95">
        <v>11</v>
      </c>
      <c r="I181" s="74"/>
      <c r="J181" s="96">
        <v>2</v>
      </c>
      <c r="K181" s="95">
        <v>11</v>
      </c>
      <c r="L181" s="74"/>
      <c r="M181" s="96">
        <v>3</v>
      </c>
      <c r="N181" s="95">
        <v>6</v>
      </c>
      <c r="O181" s="74"/>
      <c r="P181" s="96">
        <v>11</v>
      </c>
      <c r="Q181" s="102">
        <v>11</v>
      </c>
      <c r="R181" s="75"/>
      <c r="S181" s="103">
        <v>7</v>
      </c>
      <c r="T181" s="102"/>
      <c r="U181" s="75"/>
      <c r="V181" s="103"/>
      <c r="W181" s="73"/>
      <c r="X181" s="89">
        <f t="shared" si="18"/>
        <v>3</v>
      </c>
      <c r="Y181" s="75" t="s">
        <v>6</v>
      </c>
      <c r="Z181" s="97">
        <f t="shared" si="19"/>
        <v>1</v>
      </c>
      <c r="AA181" s="104" t="str">
        <f>IF(X181&gt;Z181,N175,IF(X181&lt;Z181,N176,0))</f>
        <v>Jaume Cordoba</v>
      </c>
    </row>
    <row r="182" spans="1:27" ht="18" customHeight="1" thickBot="1">
      <c r="A182" s="195">
        <v>0.40277777777777773</v>
      </c>
      <c r="B182" s="82" t="s">
        <v>43</v>
      </c>
      <c r="C182" s="88">
        <v>4</v>
      </c>
      <c r="D182" s="92">
        <v>1</v>
      </c>
      <c r="E182" s="93" t="s">
        <v>6</v>
      </c>
      <c r="F182" s="94">
        <v>3</v>
      </c>
      <c r="G182" s="91"/>
      <c r="H182" s="95">
        <v>11</v>
      </c>
      <c r="I182" s="74"/>
      <c r="J182" s="96">
        <v>6</v>
      </c>
      <c r="K182" s="95">
        <v>7</v>
      </c>
      <c r="L182" s="74"/>
      <c r="M182" s="96">
        <v>11</v>
      </c>
      <c r="N182" s="95">
        <v>4</v>
      </c>
      <c r="O182" s="74"/>
      <c r="P182" s="96">
        <v>13</v>
      </c>
      <c r="Q182" s="95"/>
      <c r="R182" s="74"/>
      <c r="S182" s="96"/>
      <c r="T182" s="95"/>
      <c r="U182" s="74"/>
      <c r="V182" s="96"/>
      <c r="W182" s="91"/>
      <c r="X182" s="89">
        <f t="shared" si="18"/>
        <v>1</v>
      </c>
      <c r="Y182" s="74" t="s">
        <v>6</v>
      </c>
      <c r="Z182" s="97">
        <f t="shared" si="19"/>
        <v>2</v>
      </c>
      <c r="AA182" s="98" t="str">
        <f>IF(X182&gt;Z182,N174,IF(X182&lt;Z182,N176,0))</f>
        <v>Carles Bascompte</v>
      </c>
    </row>
    <row r="183" spans="1:27" ht="17.25" customHeight="1" thickBot="1">
      <c r="A183" s="185">
        <v>0.4166666666666667</v>
      </c>
      <c r="B183" s="82" t="s">
        <v>43</v>
      </c>
      <c r="C183" s="99">
        <v>3</v>
      </c>
      <c r="D183" s="100">
        <v>2</v>
      </c>
      <c r="E183" s="101" t="s">
        <v>6</v>
      </c>
      <c r="F183" s="87">
        <v>4</v>
      </c>
      <c r="G183" s="71"/>
      <c r="H183" s="95">
        <v>9</v>
      </c>
      <c r="I183" s="74"/>
      <c r="J183" s="96">
        <v>11</v>
      </c>
      <c r="K183" s="95">
        <v>4</v>
      </c>
      <c r="L183" s="74"/>
      <c r="M183" s="96">
        <v>11</v>
      </c>
      <c r="N183" s="95">
        <v>5</v>
      </c>
      <c r="O183" s="74"/>
      <c r="P183" s="96">
        <v>11</v>
      </c>
      <c r="Q183" s="102"/>
      <c r="R183" s="75"/>
      <c r="S183" s="103"/>
      <c r="T183" s="102"/>
      <c r="U183" s="75"/>
      <c r="V183" s="103"/>
      <c r="W183" s="73"/>
      <c r="X183" s="89">
        <f t="shared" si="18"/>
        <v>0</v>
      </c>
      <c r="Y183" s="75" t="s">
        <v>6</v>
      </c>
      <c r="Z183" s="97">
        <f t="shared" si="19"/>
        <v>3</v>
      </c>
      <c r="AA183" s="104" t="str">
        <f>IF(X183&gt;Z183,N175,IF(X183&lt;Z183,N177,0))</f>
        <v>Aleix Farrero</v>
      </c>
    </row>
    <row r="184" spans="1:27" ht="17.25" customHeight="1" thickBot="1">
      <c r="A184" s="185">
        <v>0.4305555555555556</v>
      </c>
      <c r="B184" s="82" t="s">
        <v>43</v>
      </c>
      <c r="C184" s="88">
        <v>4</v>
      </c>
      <c r="D184" s="92">
        <v>1</v>
      </c>
      <c r="E184" s="93" t="s">
        <v>6</v>
      </c>
      <c r="F184" s="94">
        <v>2</v>
      </c>
      <c r="G184" s="91"/>
      <c r="H184" s="95">
        <v>14</v>
      </c>
      <c r="I184" s="74"/>
      <c r="J184" s="96">
        <v>12</v>
      </c>
      <c r="K184" s="95">
        <v>9</v>
      </c>
      <c r="L184" s="74"/>
      <c r="M184" s="96">
        <v>11</v>
      </c>
      <c r="N184" s="95">
        <v>9</v>
      </c>
      <c r="O184" s="74"/>
      <c r="P184" s="96">
        <v>11</v>
      </c>
      <c r="Q184" s="95">
        <v>11</v>
      </c>
      <c r="R184" s="74"/>
      <c r="S184" s="96">
        <v>6</v>
      </c>
      <c r="T184" s="95">
        <v>12</v>
      </c>
      <c r="U184" s="74"/>
      <c r="V184" s="96">
        <v>10</v>
      </c>
      <c r="W184" s="91"/>
      <c r="X184" s="89">
        <f t="shared" si="18"/>
        <v>3</v>
      </c>
      <c r="Y184" s="74" t="s">
        <v>6</v>
      </c>
      <c r="Z184" s="97">
        <f t="shared" si="19"/>
        <v>2</v>
      </c>
      <c r="AA184" s="98" t="str">
        <f>IF(X184&gt;Z184,N174,IF(X184&lt;Z184,N175,0))</f>
        <v>Pol Patau</v>
      </c>
    </row>
    <row r="185" spans="1:27" ht="16.5" customHeight="1" thickBot="1">
      <c r="A185" s="185">
        <v>0.4444444444444444</v>
      </c>
      <c r="B185" s="82" t="s">
        <v>43</v>
      </c>
      <c r="C185" s="99">
        <v>2</v>
      </c>
      <c r="D185" s="100">
        <v>3</v>
      </c>
      <c r="E185" s="101" t="s">
        <v>6</v>
      </c>
      <c r="F185" s="87">
        <v>4</v>
      </c>
      <c r="G185" s="71"/>
      <c r="H185" s="95">
        <v>7</v>
      </c>
      <c r="I185" s="74"/>
      <c r="J185" s="96">
        <v>11</v>
      </c>
      <c r="K185" s="95">
        <v>6</v>
      </c>
      <c r="L185" s="74"/>
      <c r="M185" s="96">
        <v>11</v>
      </c>
      <c r="N185" s="95">
        <v>11</v>
      </c>
      <c r="O185" s="74"/>
      <c r="P185" s="96">
        <v>9</v>
      </c>
      <c r="Q185" s="105">
        <v>15</v>
      </c>
      <c r="R185" s="76"/>
      <c r="S185" s="106">
        <v>13</v>
      </c>
      <c r="T185" s="105">
        <v>9</v>
      </c>
      <c r="U185" s="76"/>
      <c r="V185" s="106">
        <v>11</v>
      </c>
      <c r="W185" s="73"/>
      <c r="X185" s="107">
        <f t="shared" si="18"/>
        <v>2</v>
      </c>
      <c r="Y185" s="76" t="s">
        <v>6</v>
      </c>
      <c r="Z185" s="108">
        <f t="shared" si="19"/>
        <v>3</v>
      </c>
      <c r="AA185" s="109" t="str">
        <f>IF(X185&gt;Z185,N176,IF(X185&lt;Z185,N177,0))</f>
        <v>Aleix Farrero</v>
      </c>
    </row>
    <row r="186" spans="1:27" ht="15.75" thickBot="1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</row>
    <row r="187" spans="1:27" ht="6.75" customHeight="1" thickBot="1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</row>
    <row r="188" spans="1:27" ht="16.5" thickBot="1">
      <c r="A188" s="86" t="s">
        <v>36</v>
      </c>
      <c r="B188" s="87">
        <v>11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</row>
    <row r="189" spans="1:27" ht="6.75" customHeight="1" thickBot="1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</row>
    <row r="190" spans="1:27" ht="16.5" thickBot="1">
      <c r="A190" s="228" t="s">
        <v>0</v>
      </c>
      <c r="B190" s="229"/>
      <c r="C190" s="230"/>
      <c r="D190" s="203"/>
      <c r="E190" s="203"/>
      <c r="F190" s="71"/>
      <c r="G190" s="71"/>
      <c r="H190" s="71"/>
      <c r="I190" s="71"/>
      <c r="J190" s="71"/>
      <c r="K190" s="228" t="s">
        <v>2</v>
      </c>
      <c r="L190" s="229"/>
      <c r="M190" s="229"/>
      <c r="N190" s="229" t="s">
        <v>1</v>
      </c>
      <c r="O190" s="229"/>
      <c r="P190" s="229"/>
      <c r="Q190" s="229"/>
      <c r="R190" s="229"/>
      <c r="S190" s="229"/>
      <c r="T190" s="229"/>
      <c r="U190" s="229"/>
      <c r="V190" s="230"/>
      <c r="W190" s="71"/>
      <c r="X190" s="214" t="s">
        <v>35</v>
      </c>
      <c r="Y190" s="215"/>
      <c r="Z190" s="216"/>
      <c r="AA190" s="88" t="s">
        <v>38</v>
      </c>
    </row>
    <row r="191" spans="1:27" ht="15.75">
      <c r="A191" s="209">
        <v>41</v>
      </c>
      <c r="B191" s="210"/>
      <c r="C191" s="211"/>
      <c r="D191" s="203"/>
      <c r="E191" s="203"/>
      <c r="F191" s="203"/>
      <c r="G191" s="203"/>
      <c r="H191" s="203"/>
      <c r="I191" s="203"/>
      <c r="J191" s="71"/>
      <c r="K191" s="212">
        <v>1</v>
      </c>
      <c r="L191" s="213"/>
      <c r="M191" s="213"/>
      <c r="N191" s="223" t="str">
        <f>VLOOKUP(A191,'[4]Inscripcions'!$A$7:$B$209,2)</f>
        <v>Ferran Tudela</v>
      </c>
      <c r="O191" s="223"/>
      <c r="P191" s="223"/>
      <c r="Q191" s="223"/>
      <c r="R191" s="223"/>
      <c r="S191" s="223"/>
      <c r="T191" s="223"/>
      <c r="U191" s="223"/>
      <c r="V191" s="224"/>
      <c r="W191" s="71"/>
      <c r="X191" s="225">
        <f>IF(AA197=0,0,IF(N191=AA197,3,1))+IF(AA199=0,0,IF(N191=AA199,3,1))+IF(AA201=0,0,IF(N191=AA201,3,1))</f>
        <v>9</v>
      </c>
      <c r="Y191" s="226"/>
      <c r="Z191" s="227"/>
      <c r="AA191" s="84" t="str">
        <f>IF(X191&gt;8,"1r",IF(X191&gt;6,"2n",IF(X191&gt;3,"3r",IF(X191&gt;2,"4t",))))</f>
        <v>1r</v>
      </c>
    </row>
    <row r="192" spans="1:27" ht="15.75">
      <c r="A192" s="233">
        <v>42</v>
      </c>
      <c r="B192" s="234"/>
      <c r="C192" s="235"/>
      <c r="D192" s="203"/>
      <c r="E192" s="203"/>
      <c r="F192" s="203"/>
      <c r="G192" s="203"/>
      <c r="H192" s="203"/>
      <c r="I192" s="203"/>
      <c r="J192" s="71"/>
      <c r="K192" s="231">
        <v>2</v>
      </c>
      <c r="L192" s="232"/>
      <c r="M192" s="232"/>
      <c r="N192" s="223" t="str">
        <f>VLOOKUP(A192,'[4]Inscripcions'!$A$7:$B$209,2)</f>
        <v>Arnau Vives</v>
      </c>
      <c r="O192" s="223"/>
      <c r="P192" s="223"/>
      <c r="Q192" s="223"/>
      <c r="R192" s="223"/>
      <c r="S192" s="223"/>
      <c r="T192" s="223"/>
      <c r="U192" s="223"/>
      <c r="V192" s="224"/>
      <c r="W192" s="71"/>
      <c r="X192" s="225">
        <f>IF(AA198=0,0,IF(N192=AA198,3,1))+IF(AA200=0,0,IF(N192=AA200,3,1))+IF(AA201=0,0,IF(N192=AA201,3,1))</f>
        <v>5</v>
      </c>
      <c r="Y192" s="226"/>
      <c r="Z192" s="227"/>
      <c r="AA192" s="83" t="str">
        <f>IF(X192&gt;8,"1r",IF(X192&gt;6,"2n",IF(X192&gt;3,"3r",IF(X192&gt;2,"4t",))))</f>
        <v>3r</v>
      </c>
    </row>
    <row r="193" spans="1:27" ht="15.75">
      <c r="A193" s="209">
        <v>43</v>
      </c>
      <c r="B193" s="210"/>
      <c r="C193" s="211"/>
      <c r="D193" s="203"/>
      <c r="E193" s="203"/>
      <c r="F193" s="203"/>
      <c r="G193" s="203"/>
      <c r="H193" s="203"/>
      <c r="I193" s="203"/>
      <c r="J193" s="71"/>
      <c r="K193" s="231">
        <v>3</v>
      </c>
      <c r="L193" s="232"/>
      <c r="M193" s="232"/>
      <c r="N193" s="223" t="str">
        <f>VLOOKUP(A193,'[4]Inscripcions'!$A$7:$B$209,2)</f>
        <v>Albert Duch</v>
      </c>
      <c r="O193" s="223"/>
      <c r="P193" s="223"/>
      <c r="Q193" s="223"/>
      <c r="R193" s="223"/>
      <c r="S193" s="223"/>
      <c r="T193" s="223"/>
      <c r="U193" s="223"/>
      <c r="V193" s="224"/>
      <c r="W193" s="71"/>
      <c r="X193" s="225">
        <f>IF(AA198=0,0,IF(N193=AA198,3,1))+IF(AA199=0,0,IF(N193=AA199,3,1))+IF(AA202=0,0,IF(N193=AA202,3,1))</f>
        <v>3</v>
      </c>
      <c r="Y193" s="226"/>
      <c r="Z193" s="227"/>
      <c r="AA193" s="83" t="str">
        <f>IF(X193&gt;8,"1r",IF(X193&gt;6,"2n",IF(X193&gt;3,"3r",IF(X193&gt;2,"4t",))))</f>
        <v>4t</v>
      </c>
    </row>
    <row r="194" spans="1:27" ht="15.75">
      <c r="A194" s="233">
        <v>44</v>
      </c>
      <c r="B194" s="234"/>
      <c r="C194" s="235"/>
      <c r="D194" s="203"/>
      <c r="E194" s="203"/>
      <c r="F194" s="203"/>
      <c r="G194" s="203"/>
      <c r="H194" s="203"/>
      <c r="I194" s="203"/>
      <c r="J194" s="71"/>
      <c r="K194" s="231">
        <v>4</v>
      </c>
      <c r="L194" s="232"/>
      <c r="M194" s="232"/>
      <c r="N194" s="223" t="str">
        <f>VLOOKUP(A194,'[4]Inscripcions'!$A$7:$B$209,2)</f>
        <v>Victor Cayuela</v>
      </c>
      <c r="O194" s="223"/>
      <c r="P194" s="223"/>
      <c r="Q194" s="223"/>
      <c r="R194" s="223"/>
      <c r="S194" s="223"/>
      <c r="T194" s="223"/>
      <c r="U194" s="223"/>
      <c r="V194" s="224"/>
      <c r="W194" s="71"/>
      <c r="X194" s="225">
        <f>IF(AA197=0,0,IF(N194=AA197,3,1))+IF(AA200=0,0,IF(N194=AA200,3,1))+IF(AA202=0,0,IF(N194=AA202,3,1))</f>
        <v>7</v>
      </c>
      <c r="Y194" s="226"/>
      <c r="Z194" s="227"/>
      <c r="AA194" s="83" t="str">
        <f>IF(X194&gt;8,"1r",IF(X194&gt;6,"2n",IF(X194&gt;3,"3r",IF(X194&gt;2,"4t",))))</f>
        <v>2n</v>
      </c>
    </row>
    <row r="195" spans="1:27" ht="6.75" customHeight="1" thickBot="1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</row>
    <row r="196" spans="1:27" ht="13.5" customHeight="1" thickBot="1">
      <c r="A196" s="90" t="s">
        <v>11</v>
      </c>
      <c r="B196" s="90" t="s">
        <v>14</v>
      </c>
      <c r="C196" s="90" t="s">
        <v>4</v>
      </c>
      <c r="D196" s="217" t="s">
        <v>3</v>
      </c>
      <c r="E196" s="218"/>
      <c r="F196" s="219"/>
      <c r="G196" s="91"/>
      <c r="H196" s="220" t="s">
        <v>5</v>
      </c>
      <c r="I196" s="221"/>
      <c r="J196" s="222"/>
      <c r="K196" s="220" t="s">
        <v>7</v>
      </c>
      <c r="L196" s="221"/>
      <c r="M196" s="222"/>
      <c r="N196" s="220" t="s">
        <v>8</v>
      </c>
      <c r="O196" s="221"/>
      <c r="P196" s="222"/>
      <c r="Q196" s="220" t="s">
        <v>9</v>
      </c>
      <c r="R196" s="221"/>
      <c r="S196" s="222"/>
      <c r="T196" s="220" t="s">
        <v>10</v>
      </c>
      <c r="U196" s="221"/>
      <c r="V196" s="222"/>
      <c r="W196" s="91"/>
      <c r="X196" s="220" t="s">
        <v>12</v>
      </c>
      <c r="Y196" s="221"/>
      <c r="Z196" s="222"/>
      <c r="AA196" s="90" t="s">
        <v>13</v>
      </c>
    </row>
    <row r="197" spans="1:27" ht="19.5" customHeight="1" thickBot="1">
      <c r="A197" s="195">
        <v>0.375</v>
      </c>
      <c r="B197" s="82" t="s">
        <v>44</v>
      </c>
      <c r="C197" s="88">
        <v>3</v>
      </c>
      <c r="D197" s="92">
        <v>1</v>
      </c>
      <c r="E197" s="93" t="s">
        <v>6</v>
      </c>
      <c r="F197" s="94">
        <v>4</v>
      </c>
      <c r="G197" s="91"/>
      <c r="H197" s="95">
        <v>7</v>
      </c>
      <c r="I197" s="74"/>
      <c r="J197" s="96">
        <v>11</v>
      </c>
      <c r="K197" s="95">
        <v>11</v>
      </c>
      <c r="L197" s="74"/>
      <c r="M197" s="96">
        <v>8</v>
      </c>
      <c r="N197" s="95">
        <v>12</v>
      </c>
      <c r="O197" s="74"/>
      <c r="P197" s="96">
        <v>10</v>
      </c>
      <c r="Q197" s="95">
        <v>13</v>
      </c>
      <c r="R197" s="74"/>
      <c r="S197" s="96">
        <v>11</v>
      </c>
      <c r="T197" s="95"/>
      <c r="U197" s="74"/>
      <c r="V197" s="96"/>
      <c r="W197" s="91"/>
      <c r="X197" s="89">
        <f aca="true" t="shared" si="20" ref="X197:X202">IF(H197&gt;J197,1,0)+IF(K197&gt;M197,1,0)+IF(N197&gt;P197,1,0)+IF(Q197&gt;S197,1,0)+IF(T197&gt;V197,1,0)</f>
        <v>3</v>
      </c>
      <c r="Y197" s="74" t="s">
        <v>6</v>
      </c>
      <c r="Z197" s="97">
        <f aca="true" t="shared" si="21" ref="Z197:Z202">IF(H197&lt;J197,1,0)+IF(K197&lt;M197,1,0)+IF(N197&lt;P197,1,0)+IF(Q197&lt;S197,1,0)+IF(T197&lt;V197,1,0)</f>
        <v>1</v>
      </c>
      <c r="AA197" s="98" t="str">
        <f>IF(X197&gt;Z197,N191,IF(X197&lt;Z197,N194,0))</f>
        <v>Ferran Tudela</v>
      </c>
    </row>
    <row r="198" spans="1:27" ht="19.5" customHeight="1" thickBot="1">
      <c r="A198" s="185">
        <v>0.3888888888888889</v>
      </c>
      <c r="B198" s="82" t="s">
        <v>44</v>
      </c>
      <c r="C198" s="99">
        <v>1</v>
      </c>
      <c r="D198" s="100">
        <v>2</v>
      </c>
      <c r="E198" s="101" t="s">
        <v>6</v>
      </c>
      <c r="F198" s="87">
        <v>3</v>
      </c>
      <c r="G198" s="71"/>
      <c r="H198" s="95">
        <v>11</v>
      </c>
      <c r="I198" s="74"/>
      <c r="J198" s="96">
        <v>7</v>
      </c>
      <c r="K198" s="95">
        <v>9</v>
      </c>
      <c r="L198" s="74"/>
      <c r="M198" s="96">
        <v>11</v>
      </c>
      <c r="N198" s="95">
        <v>11</v>
      </c>
      <c r="O198" s="74"/>
      <c r="P198" s="96">
        <v>7</v>
      </c>
      <c r="Q198" s="102">
        <v>9</v>
      </c>
      <c r="R198" s="75"/>
      <c r="S198" s="103">
        <v>11</v>
      </c>
      <c r="T198" s="102">
        <v>11</v>
      </c>
      <c r="U198" s="75"/>
      <c r="V198" s="103">
        <v>5</v>
      </c>
      <c r="W198" s="73"/>
      <c r="X198" s="89">
        <f t="shared" si="20"/>
        <v>3</v>
      </c>
      <c r="Y198" s="75" t="s">
        <v>6</v>
      </c>
      <c r="Z198" s="97">
        <f t="shared" si="21"/>
        <v>2</v>
      </c>
      <c r="AA198" s="104" t="str">
        <f>IF(X198&gt;Z198,N192,IF(X198&lt;Z198,N193,0))</f>
        <v>Arnau Vives</v>
      </c>
    </row>
    <row r="199" spans="1:27" ht="16.5" customHeight="1" thickBot="1">
      <c r="A199" s="195">
        <v>0.40277777777777773</v>
      </c>
      <c r="B199" s="82" t="s">
        <v>44</v>
      </c>
      <c r="C199" s="88">
        <v>4</v>
      </c>
      <c r="D199" s="92">
        <v>1</v>
      </c>
      <c r="E199" s="93" t="s">
        <v>6</v>
      </c>
      <c r="F199" s="94">
        <v>3</v>
      </c>
      <c r="G199" s="91"/>
      <c r="H199" s="95">
        <v>11</v>
      </c>
      <c r="I199" s="74"/>
      <c r="J199" s="96">
        <v>8</v>
      </c>
      <c r="K199" s="95">
        <v>12</v>
      </c>
      <c r="L199" s="74"/>
      <c r="M199" s="96">
        <v>10</v>
      </c>
      <c r="N199" s="95">
        <v>12</v>
      </c>
      <c r="O199" s="74"/>
      <c r="P199" s="96">
        <v>10</v>
      </c>
      <c r="Q199" s="95"/>
      <c r="R199" s="74"/>
      <c r="S199" s="96"/>
      <c r="T199" s="95"/>
      <c r="U199" s="74"/>
      <c r="V199" s="96"/>
      <c r="W199" s="91"/>
      <c r="X199" s="89">
        <f t="shared" si="20"/>
        <v>3</v>
      </c>
      <c r="Y199" s="74" t="s">
        <v>6</v>
      </c>
      <c r="Z199" s="97">
        <f t="shared" si="21"/>
        <v>0</v>
      </c>
      <c r="AA199" s="98" t="str">
        <f>IF(X199&gt;Z199,N191,IF(X199&lt;Z199,N193,0))</f>
        <v>Ferran Tudela</v>
      </c>
    </row>
    <row r="200" spans="1:27" ht="19.5" customHeight="1" thickBot="1">
      <c r="A200" s="185">
        <v>0.4166666666666667</v>
      </c>
      <c r="B200" s="200" t="s">
        <v>269</v>
      </c>
      <c r="C200" s="99">
        <v>3</v>
      </c>
      <c r="D200" s="100">
        <v>2</v>
      </c>
      <c r="E200" s="101" t="s">
        <v>6</v>
      </c>
      <c r="F200" s="87">
        <v>4</v>
      </c>
      <c r="G200" s="71"/>
      <c r="H200" s="95">
        <v>1</v>
      </c>
      <c r="I200" s="74"/>
      <c r="J200" s="96">
        <v>11</v>
      </c>
      <c r="K200" s="95">
        <v>11</v>
      </c>
      <c r="L200" s="74"/>
      <c r="M200" s="96">
        <v>6</v>
      </c>
      <c r="N200" s="95">
        <v>2</v>
      </c>
      <c r="O200" s="74"/>
      <c r="P200" s="96">
        <v>11</v>
      </c>
      <c r="Q200" s="102">
        <v>9</v>
      </c>
      <c r="R200" s="75"/>
      <c r="S200" s="103">
        <v>11</v>
      </c>
      <c r="T200" s="102"/>
      <c r="U200" s="75"/>
      <c r="V200" s="103"/>
      <c r="W200" s="73"/>
      <c r="X200" s="89">
        <f t="shared" si="20"/>
        <v>1</v>
      </c>
      <c r="Y200" s="75" t="s">
        <v>6</v>
      </c>
      <c r="Z200" s="97">
        <f t="shared" si="21"/>
        <v>3</v>
      </c>
      <c r="AA200" s="104" t="str">
        <f>IF(X200&gt;Z200,N192,IF(X200&lt;Z200,N194,0))</f>
        <v>Victor Cayuela</v>
      </c>
    </row>
    <row r="201" spans="1:27" ht="17.25" customHeight="1" thickBot="1">
      <c r="A201" s="185">
        <v>0.4305555555555556</v>
      </c>
      <c r="B201" s="82" t="s">
        <v>44</v>
      </c>
      <c r="C201" s="88">
        <v>4</v>
      </c>
      <c r="D201" s="92">
        <v>1</v>
      </c>
      <c r="E201" s="93" t="s">
        <v>6</v>
      </c>
      <c r="F201" s="94">
        <v>2</v>
      </c>
      <c r="G201" s="91"/>
      <c r="H201" s="95">
        <v>11</v>
      </c>
      <c r="I201" s="74"/>
      <c r="J201" s="96">
        <v>7</v>
      </c>
      <c r="K201" s="95">
        <v>11</v>
      </c>
      <c r="L201" s="74"/>
      <c r="M201" s="96">
        <v>8</v>
      </c>
      <c r="N201" s="95">
        <v>11</v>
      </c>
      <c r="O201" s="74"/>
      <c r="P201" s="96">
        <v>6</v>
      </c>
      <c r="Q201" s="95"/>
      <c r="R201" s="74"/>
      <c r="S201" s="96"/>
      <c r="T201" s="95"/>
      <c r="U201" s="74"/>
      <c r="V201" s="96"/>
      <c r="W201" s="91"/>
      <c r="X201" s="89">
        <f t="shared" si="20"/>
        <v>3</v>
      </c>
      <c r="Y201" s="74" t="s">
        <v>6</v>
      </c>
      <c r="Z201" s="97">
        <f t="shared" si="21"/>
        <v>0</v>
      </c>
      <c r="AA201" s="98" t="str">
        <f>IF(X201&gt;Z201,N191,IF(X201&lt;Z201,N192,0))</f>
        <v>Ferran Tudela</v>
      </c>
    </row>
    <row r="202" spans="1:27" ht="16.5" customHeight="1" thickBot="1">
      <c r="A202" s="185">
        <v>0.4444444444444444</v>
      </c>
      <c r="B202" s="82" t="s">
        <v>44</v>
      </c>
      <c r="C202" s="99">
        <v>2</v>
      </c>
      <c r="D202" s="100">
        <v>3</v>
      </c>
      <c r="E202" s="101" t="s">
        <v>6</v>
      </c>
      <c r="F202" s="87">
        <v>4</v>
      </c>
      <c r="G202" s="71"/>
      <c r="H202" s="95">
        <v>11</v>
      </c>
      <c r="I202" s="74"/>
      <c r="J202" s="96">
        <v>9</v>
      </c>
      <c r="K202" s="95">
        <v>11</v>
      </c>
      <c r="L202" s="74"/>
      <c r="M202" s="96">
        <v>9</v>
      </c>
      <c r="N202" s="95">
        <v>6</v>
      </c>
      <c r="O202" s="74"/>
      <c r="P202" s="96">
        <v>11</v>
      </c>
      <c r="Q202" s="105">
        <v>8</v>
      </c>
      <c r="R202" s="76"/>
      <c r="S202" s="106">
        <v>11</v>
      </c>
      <c r="T202" s="105">
        <v>8</v>
      </c>
      <c r="U202" s="76"/>
      <c r="V202" s="106">
        <v>11</v>
      </c>
      <c r="W202" s="73"/>
      <c r="X202" s="107">
        <f t="shared" si="20"/>
        <v>2</v>
      </c>
      <c r="Y202" s="76" t="s">
        <v>6</v>
      </c>
      <c r="Z202" s="108">
        <f t="shared" si="21"/>
        <v>3</v>
      </c>
      <c r="AA202" s="109" t="str">
        <f>IF(X202&gt;Z202,N193,IF(X202&lt;Z202,N194,0))</f>
        <v>Victor Cayuela</v>
      </c>
    </row>
    <row r="203" spans="1:27" ht="15.75" thickBot="1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</row>
    <row r="204" spans="1:27" ht="6.75" customHeight="1" thickBot="1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</row>
    <row r="205" spans="1:27" ht="16.5" thickBot="1">
      <c r="A205" s="86" t="s">
        <v>36</v>
      </c>
      <c r="B205" s="87">
        <v>12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</row>
    <row r="206" spans="1:27" ht="6.75" customHeight="1" thickBot="1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</row>
    <row r="207" spans="1:27" ht="16.5" thickBot="1">
      <c r="A207" s="228" t="s">
        <v>0</v>
      </c>
      <c r="B207" s="229"/>
      <c r="C207" s="230"/>
      <c r="D207" s="203"/>
      <c r="E207" s="203"/>
      <c r="F207" s="71"/>
      <c r="G207" s="71"/>
      <c r="H207" s="71"/>
      <c r="I207" s="71"/>
      <c r="J207" s="71"/>
      <c r="K207" s="228" t="s">
        <v>2</v>
      </c>
      <c r="L207" s="229"/>
      <c r="M207" s="229"/>
      <c r="N207" s="229" t="s">
        <v>1</v>
      </c>
      <c r="O207" s="229"/>
      <c r="P207" s="229"/>
      <c r="Q207" s="229"/>
      <c r="R207" s="229"/>
      <c r="S207" s="229"/>
      <c r="T207" s="229"/>
      <c r="U207" s="229"/>
      <c r="V207" s="230"/>
      <c r="W207" s="71"/>
      <c r="X207" s="214" t="s">
        <v>35</v>
      </c>
      <c r="Y207" s="215"/>
      <c r="Z207" s="216"/>
      <c r="AA207" s="88" t="s">
        <v>38</v>
      </c>
    </row>
    <row r="208" spans="1:27" ht="15.75">
      <c r="A208" s="209">
        <v>45</v>
      </c>
      <c r="B208" s="210"/>
      <c r="C208" s="211"/>
      <c r="D208" s="203"/>
      <c r="E208" s="203"/>
      <c r="F208" s="203"/>
      <c r="G208" s="203"/>
      <c r="H208" s="203"/>
      <c r="I208" s="203"/>
      <c r="J208" s="71"/>
      <c r="K208" s="212">
        <v>1</v>
      </c>
      <c r="L208" s="213"/>
      <c r="M208" s="213"/>
      <c r="N208" s="223" t="str">
        <f>VLOOKUP(A208,'[4]Inscripcions'!$A$7:$B$209,2)</f>
        <v>Jordi Calvet</v>
      </c>
      <c r="O208" s="223"/>
      <c r="P208" s="223"/>
      <c r="Q208" s="223"/>
      <c r="R208" s="223"/>
      <c r="S208" s="223"/>
      <c r="T208" s="223"/>
      <c r="U208" s="223"/>
      <c r="V208" s="224"/>
      <c r="W208" s="71"/>
      <c r="X208" s="225">
        <f>IF(AA214=0,0,IF(N208=AA214,3,1))+IF(AA216=0,0,IF(N208=AA216,3,1))+IF(AA218=0,0,IF(N208=AA218,3,1))</f>
        <v>5</v>
      </c>
      <c r="Y208" s="226"/>
      <c r="Z208" s="227"/>
      <c r="AA208" s="84" t="str">
        <f>IF(X208&gt;8,"1r",IF(X208&gt;6,"2n",IF(X208&gt;3,"3r",IF(X208&gt;2,"4t",))))</f>
        <v>3r</v>
      </c>
    </row>
    <row r="209" spans="1:27" ht="15.75">
      <c r="A209" s="233">
        <v>46</v>
      </c>
      <c r="B209" s="234"/>
      <c r="C209" s="235"/>
      <c r="D209" s="203"/>
      <c r="E209" s="203"/>
      <c r="F209" s="203"/>
      <c r="G209" s="203"/>
      <c r="H209" s="203"/>
      <c r="I209" s="203"/>
      <c r="J209" s="71"/>
      <c r="K209" s="231">
        <v>2</v>
      </c>
      <c r="L209" s="232"/>
      <c r="M209" s="232"/>
      <c r="N209" s="223" t="str">
        <f>VLOOKUP(A209,'[4]Inscripcions'!$A$7:$B$209,2)</f>
        <v>Toni Sánchez</v>
      </c>
      <c r="O209" s="223"/>
      <c r="P209" s="223"/>
      <c r="Q209" s="223"/>
      <c r="R209" s="223"/>
      <c r="S209" s="223"/>
      <c r="T209" s="223"/>
      <c r="U209" s="223"/>
      <c r="V209" s="224"/>
      <c r="W209" s="71"/>
      <c r="X209" s="225">
        <f>IF(AA215=0,0,IF(N209=AA215,3,1))+IF(AA217=0,0,IF(N209=AA217,3,1))+IF(AA218=0,0,IF(N209=AA218,3,1))</f>
        <v>7</v>
      </c>
      <c r="Y209" s="226"/>
      <c r="Z209" s="227"/>
      <c r="AA209" s="83" t="str">
        <f>IF(X209&gt;8,"1r",IF(X209&gt;6,"2n",IF(X209&gt;3,"3r",IF(X209&gt;2,"4t",))))</f>
        <v>2n</v>
      </c>
    </row>
    <row r="210" spans="1:27" ht="15.75">
      <c r="A210" s="209">
        <v>47</v>
      </c>
      <c r="B210" s="210"/>
      <c r="C210" s="211"/>
      <c r="D210" s="203"/>
      <c r="E210" s="203"/>
      <c r="F210" s="203"/>
      <c r="G210" s="203"/>
      <c r="H210" s="203"/>
      <c r="I210" s="203"/>
      <c r="J210" s="71"/>
      <c r="K210" s="231">
        <v>3</v>
      </c>
      <c r="L210" s="232"/>
      <c r="M210" s="232"/>
      <c r="N210" s="223" t="str">
        <f>VLOOKUP(A210,'[4]Inscripcions'!$A$7:$B$209,2)</f>
        <v>Montse Polo</v>
      </c>
      <c r="O210" s="223"/>
      <c r="P210" s="223"/>
      <c r="Q210" s="223"/>
      <c r="R210" s="223"/>
      <c r="S210" s="223"/>
      <c r="T210" s="223"/>
      <c r="U210" s="223"/>
      <c r="V210" s="224"/>
      <c r="W210" s="71"/>
      <c r="X210" s="225">
        <f>IF(AA215=0,0,IF(N210=AA215,3,1))+IF(AA216=0,0,IF(N210=AA216,3,1))+IF(AA219=0,0,IF(N210=AA219,3,1))</f>
        <v>3</v>
      </c>
      <c r="Y210" s="226"/>
      <c r="Z210" s="227"/>
      <c r="AA210" s="83" t="str">
        <f>IF(X210&gt;8,"1r",IF(X210&gt;6,"2n",IF(X210&gt;3,"3r",IF(X210&gt;2,"4t",))))</f>
        <v>4t</v>
      </c>
    </row>
    <row r="211" spans="1:27" ht="15.75">
      <c r="A211" s="233">
        <v>48</v>
      </c>
      <c r="B211" s="234"/>
      <c r="C211" s="235"/>
      <c r="D211" s="203"/>
      <c r="E211" s="203"/>
      <c r="F211" s="203"/>
      <c r="G211" s="203"/>
      <c r="H211" s="203"/>
      <c r="I211" s="203"/>
      <c r="J211" s="71"/>
      <c r="K211" s="231">
        <v>4</v>
      </c>
      <c r="L211" s="232"/>
      <c r="M211" s="232"/>
      <c r="N211" s="223" t="str">
        <f>VLOOKUP(A211,'[4]Inscripcions'!$A$7:$B$209,2)</f>
        <v>Joel Roselló</v>
      </c>
      <c r="O211" s="223"/>
      <c r="P211" s="223"/>
      <c r="Q211" s="223"/>
      <c r="R211" s="223"/>
      <c r="S211" s="223"/>
      <c r="T211" s="223"/>
      <c r="U211" s="223"/>
      <c r="V211" s="224"/>
      <c r="W211" s="71"/>
      <c r="X211" s="225">
        <f>IF(AA214=0,0,IF(N211=AA214,3,1))+IF(AA217=0,0,IF(N211=AA217,3,1))+IF(AA219=0,0,IF(N211=AA219,3,1))</f>
        <v>9</v>
      </c>
      <c r="Y211" s="226"/>
      <c r="Z211" s="227"/>
      <c r="AA211" s="83" t="str">
        <f>IF(X211&gt;8,"1r",IF(X211&gt;6,"2n",IF(X211&gt;3,"3r",IF(X211&gt;2,"4t",))))</f>
        <v>1r</v>
      </c>
    </row>
    <row r="212" spans="1:27" ht="6.75" customHeight="1" thickBot="1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</row>
    <row r="213" spans="1:27" ht="13.5" customHeight="1" thickBot="1">
      <c r="A213" s="90" t="s">
        <v>11</v>
      </c>
      <c r="B213" s="90" t="s">
        <v>14</v>
      </c>
      <c r="C213" s="90" t="s">
        <v>4</v>
      </c>
      <c r="D213" s="217" t="s">
        <v>3</v>
      </c>
      <c r="E213" s="218"/>
      <c r="F213" s="219"/>
      <c r="G213" s="91"/>
      <c r="H213" s="220" t="s">
        <v>5</v>
      </c>
      <c r="I213" s="221"/>
      <c r="J213" s="222"/>
      <c r="K213" s="220" t="s">
        <v>7</v>
      </c>
      <c r="L213" s="221"/>
      <c r="M213" s="222"/>
      <c r="N213" s="220" t="s">
        <v>8</v>
      </c>
      <c r="O213" s="221"/>
      <c r="P213" s="222"/>
      <c r="Q213" s="220" t="s">
        <v>9</v>
      </c>
      <c r="R213" s="221"/>
      <c r="S213" s="222"/>
      <c r="T213" s="220" t="s">
        <v>10</v>
      </c>
      <c r="U213" s="221"/>
      <c r="V213" s="222"/>
      <c r="W213" s="91"/>
      <c r="X213" s="220" t="s">
        <v>12</v>
      </c>
      <c r="Y213" s="221"/>
      <c r="Z213" s="222"/>
      <c r="AA213" s="90" t="s">
        <v>13</v>
      </c>
    </row>
    <row r="214" spans="1:27" ht="16.5" customHeight="1" thickBot="1">
      <c r="A214" s="185">
        <v>0.4583333333333333</v>
      </c>
      <c r="B214" s="82" t="s">
        <v>40</v>
      </c>
      <c r="C214" s="88">
        <v>3</v>
      </c>
      <c r="D214" s="92">
        <v>1</v>
      </c>
      <c r="E214" s="93" t="s">
        <v>6</v>
      </c>
      <c r="F214" s="94">
        <v>4</v>
      </c>
      <c r="G214" s="91"/>
      <c r="H214" s="95">
        <v>13</v>
      </c>
      <c r="I214" s="74"/>
      <c r="J214" s="96">
        <v>11</v>
      </c>
      <c r="K214" s="95">
        <v>3</v>
      </c>
      <c r="L214" s="74"/>
      <c r="M214" s="96">
        <v>11</v>
      </c>
      <c r="N214" s="95">
        <v>9</v>
      </c>
      <c r="O214" s="74"/>
      <c r="P214" s="96">
        <v>11</v>
      </c>
      <c r="Q214" s="95">
        <v>5</v>
      </c>
      <c r="R214" s="74"/>
      <c r="S214" s="96">
        <v>11</v>
      </c>
      <c r="T214" s="95"/>
      <c r="U214" s="74"/>
      <c r="V214" s="96"/>
      <c r="W214" s="91"/>
      <c r="X214" s="89">
        <f aca="true" t="shared" si="22" ref="X214:X219">IF(H214&gt;J214,1,0)+IF(K214&gt;M214,1,0)+IF(N214&gt;P214,1,0)+IF(Q214&gt;S214,1,0)+IF(T214&gt;V214,1,0)</f>
        <v>1</v>
      </c>
      <c r="Y214" s="74" t="s">
        <v>6</v>
      </c>
      <c r="Z214" s="97">
        <f aca="true" t="shared" si="23" ref="Z214:Z219">IF(H214&lt;J214,1,0)+IF(K214&lt;M214,1,0)+IF(N214&lt;P214,1,0)+IF(Q214&lt;S214,1,0)+IF(T214&lt;V214,1,0)</f>
        <v>3</v>
      </c>
      <c r="AA214" s="98" t="str">
        <f>IF(X214&gt;Z214,N208,IF(X214&lt;Z214,N211,0))</f>
        <v>Joel Roselló</v>
      </c>
    </row>
    <row r="215" spans="1:27" ht="20.25" customHeight="1" thickBot="1">
      <c r="A215" s="195">
        <v>0.47222222222222227</v>
      </c>
      <c r="B215" s="82" t="s">
        <v>40</v>
      </c>
      <c r="C215" s="99">
        <v>1</v>
      </c>
      <c r="D215" s="100">
        <v>2</v>
      </c>
      <c r="E215" s="101" t="s">
        <v>6</v>
      </c>
      <c r="F215" s="87">
        <v>3</v>
      </c>
      <c r="G215" s="71"/>
      <c r="H215" s="95">
        <v>3</v>
      </c>
      <c r="I215" s="74"/>
      <c r="J215" s="96">
        <v>11</v>
      </c>
      <c r="K215" s="95">
        <v>12</v>
      </c>
      <c r="L215" s="74"/>
      <c r="M215" s="96">
        <v>10</v>
      </c>
      <c r="N215" s="95">
        <v>14</v>
      </c>
      <c r="O215" s="74"/>
      <c r="P215" s="96">
        <v>12</v>
      </c>
      <c r="Q215" s="102">
        <v>11</v>
      </c>
      <c r="R215" s="75"/>
      <c r="S215" s="103">
        <v>8</v>
      </c>
      <c r="T215" s="102"/>
      <c r="U215" s="75"/>
      <c r="V215" s="103"/>
      <c r="W215" s="73"/>
      <c r="X215" s="89">
        <f t="shared" si="22"/>
        <v>3</v>
      </c>
      <c r="Y215" s="75" t="s">
        <v>6</v>
      </c>
      <c r="Z215" s="97">
        <f t="shared" si="23"/>
        <v>1</v>
      </c>
      <c r="AA215" s="104" t="str">
        <f>IF(X215&gt;Z215,N209,IF(X215&lt;Z215,N210,0))</f>
        <v>Toni Sánchez</v>
      </c>
    </row>
    <row r="216" spans="1:27" ht="19.5" customHeight="1" thickBot="1">
      <c r="A216" s="195">
        <v>0.4861111111111111</v>
      </c>
      <c r="B216" s="82" t="s">
        <v>40</v>
      </c>
      <c r="C216" s="88">
        <v>4</v>
      </c>
      <c r="D216" s="92">
        <v>1</v>
      </c>
      <c r="E216" s="93" t="s">
        <v>6</v>
      </c>
      <c r="F216" s="94">
        <v>3</v>
      </c>
      <c r="G216" s="91"/>
      <c r="H216" s="95">
        <v>11</v>
      </c>
      <c r="I216" s="74"/>
      <c r="J216" s="96">
        <v>4</v>
      </c>
      <c r="K216" s="95">
        <v>11</v>
      </c>
      <c r="L216" s="74"/>
      <c r="M216" s="96">
        <v>6</v>
      </c>
      <c r="N216" s="95">
        <v>11</v>
      </c>
      <c r="O216" s="74"/>
      <c r="P216" s="96">
        <v>8</v>
      </c>
      <c r="Q216" s="95"/>
      <c r="R216" s="74"/>
      <c r="S216" s="96"/>
      <c r="T216" s="95"/>
      <c r="U216" s="74"/>
      <c r="V216" s="96"/>
      <c r="W216" s="91"/>
      <c r="X216" s="89">
        <f t="shared" si="22"/>
        <v>3</v>
      </c>
      <c r="Y216" s="74" t="s">
        <v>6</v>
      </c>
      <c r="Z216" s="97">
        <f t="shared" si="23"/>
        <v>0</v>
      </c>
      <c r="AA216" s="98" t="str">
        <f>IF(X216&gt;Z216,N208,IF(X216&lt;Z216,N210,0))</f>
        <v>Jordi Calvet</v>
      </c>
    </row>
    <row r="217" spans="1:27" ht="17.25" customHeight="1" thickBot="1">
      <c r="A217" s="185">
        <v>0.5</v>
      </c>
      <c r="B217" s="82" t="s">
        <v>40</v>
      </c>
      <c r="C217" s="99">
        <v>3</v>
      </c>
      <c r="D217" s="100">
        <v>2</v>
      </c>
      <c r="E217" s="101" t="s">
        <v>6</v>
      </c>
      <c r="F217" s="87">
        <v>4</v>
      </c>
      <c r="G217" s="71"/>
      <c r="H217" s="95">
        <v>9</v>
      </c>
      <c r="I217" s="74"/>
      <c r="J217" s="96">
        <v>11</v>
      </c>
      <c r="K217" s="95">
        <v>4</v>
      </c>
      <c r="L217" s="74"/>
      <c r="M217" s="96">
        <v>11</v>
      </c>
      <c r="N217" s="95">
        <v>7</v>
      </c>
      <c r="O217" s="74"/>
      <c r="P217" s="96">
        <v>11</v>
      </c>
      <c r="Q217" s="102"/>
      <c r="R217" s="75"/>
      <c r="S217" s="103"/>
      <c r="T217" s="102"/>
      <c r="U217" s="75"/>
      <c r="V217" s="103"/>
      <c r="W217" s="73"/>
      <c r="X217" s="89">
        <f t="shared" si="22"/>
        <v>0</v>
      </c>
      <c r="Y217" s="75" t="s">
        <v>6</v>
      </c>
      <c r="Z217" s="97">
        <f t="shared" si="23"/>
        <v>3</v>
      </c>
      <c r="AA217" s="104" t="str">
        <f>IF(X217&gt;Z217,N209,IF(X217&lt;Z217,N211,0))</f>
        <v>Joel Roselló</v>
      </c>
    </row>
    <row r="218" spans="1:27" ht="17.25" customHeight="1" thickBot="1">
      <c r="A218" s="195">
        <v>0.513888888888889</v>
      </c>
      <c r="B218" s="82" t="s">
        <v>40</v>
      </c>
      <c r="C218" s="88">
        <v>4</v>
      </c>
      <c r="D218" s="92">
        <v>1</v>
      </c>
      <c r="E218" s="93" t="s">
        <v>6</v>
      </c>
      <c r="F218" s="94">
        <v>2</v>
      </c>
      <c r="G218" s="91"/>
      <c r="H218" s="95">
        <v>5</v>
      </c>
      <c r="I218" s="74"/>
      <c r="J218" s="96">
        <v>11</v>
      </c>
      <c r="K218" s="95">
        <v>9</v>
      </c>
      <c r="L218" s="74"/>
      <c r="M218" s="96">
        <v>11</v>
      </c>
      <c r="N218" s="95">
        <v>11</v>
      </c>
      <c r="O218" s="74"/>
      <c r="P218" s="96">
        <v>5</v>
      </c>
      <c r="Q218" s="95">
        <v>11</v>
      </c>
      <c r="R218" s="74"/>
      <c r="S218" s="96">
        <v>8</v>
      </c>
      <c r="T218" s="95">
        <v>5</v>
      </c>
      <c r="U218" s="74"/>
      <c r="V218" s="96">
        <v>11</v>
      </c>
      <c r="W218" s="91"/>
      <c r="X218" s="89">
        <f t="shared" si="22"/>
        <v>2</v>
      </c>
      <c r="Y218" s="74" t="s">
        <v>6</v>
      </c>
      <c r="Z218" s="97">
        <f t="shared" si="23"/>
        <v>3</v>
      </c>
      <c r="AA218" s="98" t="str">
        <f>IF(X218&gt;Z218,N208,IF(X218&lt;Z218,N209,0))</f>
        <v>Toni Sánchez</v>
      </c>
    </row>
    <row r="219" spans="1:27" ht="18" customHeight="1" thickBot="1">
      <c r="A219" s="185">
        <v>0.5277777777777778</v>
      </c>
      <c r="B219" s="82" t="s">
        <v>40</v>
      </c>
      <c r="C219" s="99">
        <v>2</v>
      </c>
      <c r="D219" s="100">
        <v>3</v>
      </c>
      <c r="E219" s="101" t="s">
        <v>6</v>
      </c>
      <c r="F219" s="87">
        <v>4</v>
      </c>
      <c r="G219" s="71"/>
      <c r="H219" s="95">
        <v>6</v>
      </c>
      <c r="I219" s="74"/>
      <c r="J219" s="96">
        <v>11</v>
      </c>
      <c r="K219" s="95">
        <v>8</v>
      </c>
      <c r="L219" s="74"/>
      <c r="M219" s="96">
        <v>11</v>
      </c>
      <c r="N219" s="95">
        <v>8</v>
      </c>
      <c r="O219" s="74"/>
      <c r="P219" s="96">
        <v>11</v>
      </c>
      <c r="Q219" s="105"/>
      <c r="R219" s="76"/>
      <c r="S219" s="106"/>
      <c r="T219" s="105"/>
      <c r="U219" s="76"/>
      <c r="V219" s="106"/>
      <c r="W219" s="73"/>
      <c r="X219" s="107">
        <f t="shared" si="22"/>
        <v>0</v>
      </c>
      <c r="Y219" s="76" t="s">
        <v>6</v>
      </c>
      <c r="Z219" s="108">
        <f t="shared" si="23"/>
        <v>3</v>
      </c>
      <c r="AA219" s="109" t="str">
        <f>IF(X219&gt;Z219,N210,IF(X219&lt;Z219,N211,0))</f>
        <v>Joel Roselló</v>
      </c>
    </row>
    <row r="220" spans="1:27" ht="15.75" thickBot="1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</row>
    <row r="221" spans="1:27" ht="6.75" customHeight="1" thickBot="1">
      <c r="A221" s="72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</row>
    <row r="222" spans="1:27" ht="16.5" thickBot="1">
      <c r="A222" s="86" t="s">
        <v>36</v>
      </c>
      <c r="B222" s="87">
        <v>13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</row>
    <row r="223" spans="1:27" ht="6.75" customHeight="1" thickBot="1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</row>
    <row r="224" spans="1:27" ht="16.5" thickBot="1">
      <c r="A224" s="228" t="s">
        <v>0</v>
      </c>
      <c r="B224" s="229"/>
      <c r="C224" s="230"/>
      <c r="D224" s="203"/>
      <c r="E224" s="203"/>
      <c r="F224" s="71"/>
      <c r="G224" s="71"/>
      <c r="H224" s="71"/>
      <c r="I224" s="71"/>
      <c r="J224" s="71"/>
      <c r="K224" s="228" t="s">
        <v>2</v>
      </c>
      <c r="L224" s="229"/>
      <c r="M224" s="229"/>
      <c r="N224" s="229" t="s">
        <v>1</v>
      </c>
      <c r="O224" s="229"/>
      <c r="P224" s="229"/>
      <c r="Q224" s="229"/>
      <c r="R224" s="229"/>
      <c r="S224" s="229"/>
      <c r="T224" s="229"/>
      <c r="U224" s="229"/>
      <c r="V224" s="230"/>
      <c r="W224" s="71"/>
      <c r="X224" s="214" t="s">
        <v>35</v>
      </c>
      <c r="Y224" s="215"/>
      <c r="Z224" s="216"/>
      <c r="AA224" s="88" t="s">
        <v>267</v>
      </c>
    </row>
    <row r="225" spans="1:27" ht="15.75">
      <c r="A225" s="209">
        <v>49</v>
      </c>
      <c r="B225" s="210"/>
      <c r="C225" s="211"/>
      <c r="D225" s="203"/>
      <c r="E225" s="203"/>
      <c r="F225" s="203"/>
      <c r="G225" s="203"/>
      <c r="H225" s="203"/>
      <c r="I225" s="203"/>
      <c r="J225" s="71"/>
      <c r="K225" s="212">
        <v>1</v>
      </c>
      <c r="L225" s="213"/>
      <c r="M225" s="213"/>
      <c r="N225" s="223" t="str">
        <f>VLOOKUP(A225,'[4]Inscripcions'!$A$7:$B$209,2)</f>
        <v>Jordi Rodriguez</v>
      </c>
      <c r="O225" s="223"/>
      <c r="P225" s="223"/>
      <c r="Q225" s="223"/>
      <c r="R225" s="223"/>
      <c r="S225" s="223"/>
      <c r="T225" s="223"/>
      <c r="U225" s="223"/>
      <c r="V225" s="224"/>
      <c r="W225" s="71"/>
      <c r="X225" s="225">
        <f>IF(AA231=0,0,IF(N225=AA231,3,1))+IF(AA233=0,0,IF(N225=AA233,3,1))+IF(AA235=0,0,IF(N225=AA235,3,1))</f>
        <v>7</v>
      </c>
      <c r="Y225" s="226"/>
      <c r="Z225" s="227"/>
      <c r="AA225" s="84" t="str">
        <f>IF(X225&gt;8,"1r",IF(X225&gt;6,"2n",IF(X225&gt;3,"3r",IF(X225&gt;2,"4t",))))</f>
        <v>2n</v>
      </c>
    </row>
    <row r="226" spans="1:27" ht="15.75">
      <c r="A226" s="233">
        <v>50</v>
      </c>
      <c r="B226" s="234"/>
      <c r="C226" s="235"/>
      <c r="D226" s="203"/>
      <c r="E226" s="203"/>
      <c r="F226" s="203"/>
      <c r="G226" s="203"/>
      <c r="H226" s="203"/>
      <c r="I226" s="203"/>
      <c r="J226" s="71"/>
      <c r="K226" s="231">
        <v>2</v>
      </c>
      <c r="L226" s="232"/>
      <c r="M226" s="232"/>
      <c r="N226" s="223" t="str">
        <f>VLOOKUP(A226,'[4]Inscripcions'!$A$7:$B$209,2)</f>
        <v>Ivan Fernández LL.</v>
      </c>
      <c r="O226" s="223"/>
      <c r="P226" s="223"/>
      <c r="Q226" s="223"/>
      <c r="R226" s="223"/>
      <c r="S226" s="223"/>
      <c r="T226" s="223"/>
      <c r="U226" s="223"/>
      <c r="V226" s="224"/>
      <c r="W226" s="71"/>
      <c r="X226" s="225">
        <f>IF(AA232=0,0,IF(N226=AA232,3,1))+IF(AA234=0,0,IF(N226=AA234,3,1))+IF(AA235=0,0,IF(N226=AA235,3,1))</f>
        <v>3</v>
      </c>
      <c r="Y226" s="226"/>
      <c r="Z226" s="227"/>
      <c r="AA226" s="83" t="str">
        <f>IF(X226&gt;8,"1r",IF(X226&gt;6,"2n",IF(X226&gt;3,"3r",IF(X226&gt;2,"4t",))))</f>
        <v>4t</v>
      </c>
    </row>
    <row r="227" spans="1:27" ht="15.75">
      <c r="A227" s="209">
        <v>51</v>
      </c>
      <c r="B227" s="210"/>
      <c r="C227" s="211"/>
      <c r="D227" s="203"/>
      <c r="E227" s="203"/>
      <c r="F227" s="203"/>
      <c r="G227" s="203"/>
      <c r="H227" s="203"/>
      <c r="I227" s="203"/>
      <c r="J227" s="71"/>
      <c r="K227" s="231">
        <v>3</v>
      </c>
      <c r="L227" s="232"/>
      <c r="M227" s="232"/>
      <c r="N227" s="223" t="str">
        <f>VLOOKUP(A227,'[4]Inscripcions'!$A$7:$B$209,2)</f>
        <v>Jordi Ros</v>
      </c>
      <c r="O227" s="223"/>
      <c r="P227" s="223"/>
      <c r="Q227" s="223"/>
      <c r="R227" s="223"/>
      <c r="S227" s="223"/>
      <c r="T227" s="223"/>
      <c r="U227" s="223"/>
      <c r="V227" s="224"/>
      <c r="W227" s="71"/>
      <c r="X227" s="225">
        <f>IF(AA232=0,0,IF(N227=AA232,3,1))+IF(AA233=0,0,IF(N227=AA233,3,1))+IF(AA236=0,0,IF(N227=AA236,3,1))</f>
        <v>9</v>
      </c>
      <c r="Y227" s="226"/>
      <c r="Z227" s="227"/>
      <c r="AA227" s="83" t="str">
        <f>IF(X227&gt;8,"1r",IF(X227&gt;6,"2n",IF(X227&gt;3,"3r",IF(X227&gt;2,"4t",))))</f>
        <v>1r</v>
      </c>
    </row>
    <row r="228" spans="1:27" ht="15.75">
      <c r="A228" s="233">
        <v>52</v>
      </c>
      <c r="B228" s="234"/>
      <c r="C228" s="235"/>
      <c r="D228" s="203"/>
      <c r="E228" s="203"/>
      <c r="F228" s="203"/>
      <c r="G228" s="203"/>
      <c r="H228" s="203"/>
      <c r="I228" s="203"/>
      <c r="J228" s="71"/>
      <c r="K228" s="231">
        <v>4</v>
      </c>
      <c r="L228" s="232"/>
      <c r="M228" s="232"/>
      <c r="N228" s="223" t="str">
        <f>VLOOKUP(A228,'[4]Inscripcions'!$A$7:$B$209,2)</f>
        <v>Victòria Sancho</v>
      </c>
      <c r="O228" s="223"/>
      <c r="P228" s="223"/>
      <c r="Q228" s="223"/>
      <c r="R228" s="223"/>
      <c r="S228" s="223"/>
      <c r="T228" s="223"/>
      <c r="U228" s="223"/>
      <c r="V228" s="224"/>
      <c r="W228" s="71"/>
      <c r="X228" s="225">
        <f>IF(AA231=0,0,IF(N228=AA231,3,1))+IF(AA234=0,0,IF(N228=AA234,3,1))+IF(AA236=0,0,IF(N228=AA236,3,1))</f>
        <v>5</v>
      </c>
      <c r="Y228" s="226"/>
      <c r="Z228" s="227"/>
      <c r="AA228" s="83" t="str">
        <f>IF(X228&gt;8,"1r",IF(X228&gt;6,"2n",IF(X228&gt;3,"3r",IF(X228&gt;2,"4t",))))</f>
        <v>3r</v>
      </c>
    </row>
    <row r="229" spans="1:27" ht="6.75" customHeight="1" thickBot="1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</row>
    <row r="230" spans="1:27" ht="13.5" customHeight="1" thickBot="1">
      <c r="A230" s="90" t="s">
        <v>11</v>
      </c>
      <c r="B230" s="90" t="s">
        <v>14</v>
      </c>
      <c r="C230" s="90" t="s">
        <v>4</v>
      </c>
      <c r="D230" s="217" t="s">
        <v>3</v>
      </c>
      <c r="E230" s="218"/>
      <c r="F230" s="219"/>
      <c r="G230" s="91"/>
      <c r="H230" s="220" t="s">
        <v>5</v>
      </c>
      <c r="I230" s="221"/>
      <c r="J230" s="222"/>
      <c r="K230" s="220" t="s">
        <v>7</v>
      </c>
      <c r="L230" s="221"/>
      <c r="M230" s="222"/>
      <c r="N230" s="220" t="s">
        <v>8</v>
      </c>
      <c r="O230" s="221"/>
      <c r="P230" s="222"/>
      <c r="Q230" s="220" t="s">
        <v>9</v>
      </c>
      <c r="R230" s="221"/>
      <c r="S230" s="222"/>
      <c r="T230" s="220" t="s">
        <v>10</v>
      </c>
      <c r="U230" s="221"/>
      <c r="V230" s="222"/>
      <c r="W230" s="91"/>
      <c r="X230" s="220" t="s">
        <v>12</v>
      </c>
      <c r="Y230" s="221"/>
      <c r="Z230" s="222"/>
      <c r="AA230" s="90" t="s">
        <v>13</v>
      </c>
    </row>
    <row r="231" spans="1:27" ht="17.25" customHeight="1" thickBot="1">
      <c r="A231" s="195">
        <v>0.375</v>
      </c>
      <c r="B231" s="82" t="s">
        <v>45</v>
      </c>
      <c r="C231" s="88">
        <v>3</v>
      </c>
      <c r="D231" s="92">
        <v>1</v>
      </c>
      <c r="E231" s="93" t="s">
        <v>6</v>
      </c>
      <c r="F231" s="94">
        <v>4</v>
      </c>
      <c r="G231" s="91"/>
      <c r="H231" s="95">
        <v>6</v>
      </c>
      <c r="I231" s="74"/>
      <c r="J231" s="96">
        <v>11</v>
      </c>
      <c r="K231" s="95">
        <v>12</v>
      </c>
      <c r="L231" s="74"/>
      <c r="M231" s="96">
        <v>10</v>
      </c>
      <c r="N231" s="95">
        <v>2</v>
      </c>
      <c r="O231" s="74"/>
      <c r="P231" s="96">
        <v>11</v>
      </c>
      <c r="Q231" s="95">
        <v>11</v>
      </c>
      <c r="R231" s="74"/>
      <c r="S231" s="96">
        <v>9</v>
      </c>
      <c r="T231" s="95">
        <v>11</v>
      </c>
      <c r="U231" s="74"/>
      <c r="V231" s="96">
        <v>4</v>
      </c>
      <c r="W231" s="91"/>
      <c r="X231" s="89">
        <f aca="true" t="shared" si="24" ref="X231:X236">IF(H231&gt;J231,1,0)+IF(K231&gt;M231,1,0)+IF(N231&gt;P231,1,0)+IF(Q231&gt;S231,1,0)+IF(T231&gt;V231,1,0)</f>
        <v>3</v>
      </c>
      <c r="Y231" s="74" t="s">
        <v>6</v>
      </c>
      <c r="Z231" s="97">
        <f aca="true" t="shared" si="25" ref="Z231:Z236">IF(H231&lt;J231,1,0)+IF(K231&lt;M231,1,0)+IF(N231&lt;P231,1,0)+IF(Q231&lt;S231,1,0)+IF(T231&lt;V231,1,0)</f>
        <v>2</v>
      </c>
      <c r="AA231" s="98" t="str">
        <f>IF(X231&gt;Z231,N225,IF(X231&lt;Z231,N228,0))</f>
        <v>Jordi Rodriguez</v>
      </c>
    </row>
    <row r="232" spans="1:27" ht="17.25" customHeight="1" thickBot="1">
      <c r="A232" s="185">
        <v>0.3888888888888889</v>
      </c>
      <c r="B232" s="82" t="s">
        <v>45</v>
      </c>
      <c r="C232" s="99">
        <v>1</v>
      </c>
      <c r="D232" s="100">
        <v>2</v>
      </c>
      <c r="E232" s="101" t="s">
        <v>6</v>
      </c>
      <c r="F232" s="87">
        <v>3</v>
      </c>
      <c r="G232" s="71"/>
      <c r="H232" s="95">
        <v>6</v>
      </c>
      <c r="I232" s="74"/>
      <c r="J232" s="96">
        <v>11</v>
      </c>
      <c r="K232" s="95">
        <v>9</v>
      </c>
      <c r="L232" s="74"/>
      <c r="M232" s="96">
        <v>11</v>
      </c>
      <c r="N232" s="95">
        <v>7</v>
      </c>
      <c r="O232" s="74"/>
      <c r="P232" s="96">
        <v>11</v>
      </c>
      <c r="Q232" s="102"/>
      <c r="R232" s="75"/>
      <c r="S232" s="103"/>
      <c r="T232" s="102"/>
      <c r="U232" s="75"/>
      <c r="V232" s="103"/>
      <c r="W232" s="73"/>
      <c r="X232" s="89">
        <f t="shared" si="24"/>
        <v>0</v>
      </c>
      <c r="Y232" s="75" t="s">
        <v>6</v>
      </c>
      <c r="Z232" s="97">
        <f t="shared" si="25"/>
        <v>3</v>
      </c>
      <c r="AA232" s="104" t="str">
        <f>IF(X232&gt;Z232,N226,IF(X232&lt;Z232,N227,0))</f>
        <v>Jordi Ros</v>
      </c>
    </row>
    <row r="233" spans="1:27" ht="20.25" customHeight="1" thickBot="1">
      <c r="A233" s="195">
        <v>0.40277777777777773</v>
      </c>
      <c r="B233" s="82" t="s">
        <v>45</v>
      </c>
      <c r="C233" s="88">
        <v>4</v>
      </c>
      <c r="D233" s="92">
        <v>1</v>
      </c>
      <c r="E233" s="93" t="s">
        <v>6</v>
      </c>
      <c r="F233" s="94">
        <v>3</v>
      </c>
      <c r="G233" s="91"/>
      <c r="H233" s="95">
        <v>7</v>
      </c>
      <c r="I233" s="74"/>
      <c r="J233" s="96">
        <v>11</v>
      </c>
      <c r="K233" s="95">
        <v>9</v>
      </c>
      <c r="L233" s="74"/>
      <c r="M233" s="96">
        <v>11</v>
      </c>
      <c r="N233" s="95">
        <v>11</v>
      </c>
      <c r="O233" s="74"/>
      <c r="P233" s="96">
        <v>5</v>
      </c>
      <c r="Q233" s="95">
        <v>5</v>
      </c>
      <c r="R233" s="74"/>
      <c r="S233" s="96">
        <v>11</v>
      </c>
      <c r="T233" s="95"/>
      <c r="U233" s="74"/>
      <c r="V233" s="96"/>
      <c r="W233" s="91"/>
      <c r="X233" s="89">
        <f t="shared" si="24"/>
        <v>1</v>
      </c>
      <c r="Y233" s="74" t="s">
        <v>6</v>
      </c>
      <c r="Z233" s="97">
        <f t="shared" si="25"/>
        <v>3</v>
      </c>
      <c r="AA233" s="98" t="str">
        <f>IF(X233&gt;Z233,N225,IF(X233&lt;Z233,N227,0))</f>
        <v>Jordi Ros</v>
      </c>
    </row>
    <row r="234" spans="1:27" ht="17.25" customHeight="1" thickBot="1">
      <c r="A234" s="185">
        <v>0.4166666666666667</v>
      </c>
      <c r="B234" s="82" t="s">
        <v>45</v>
      </c>
      <c r="C234" s="99">
        <v>3</v>
      </c>
      <c r="D234" s="100">
        <v>2</v>
      </c>
      <c r="E234" s="101" t="s">
        <v>6</v>
      </c>
      <c r="F234" s="87">
        <v>4</v>
      </c>
      <c r="G234" s="71"/>
      <c r="H234" s="95">
        <v>5</v>
      </c>
      <c r="I234" s="74"/>
      <c r="J234" s="96">
        <v>11</v>
      </c>
      <c r="K234" s="95">
        <v>12</v>
      </c>
      <c r="L234" s="74"/>
      <c r="M234" s="96">
        <v>14</v>
      </c>
      <c r="N234" s="95">
        <v>8</v>
      </c>
      <c r="O234" s="74"/>
      <c r="P234" s="96">
        <v>11</v>
      </c>
      <c r="Q234" s="102"/>
      <c r="R234" s="75"/>
      <c r="S234" s="103"/>
      <c r="T234" s="102"/>
      <c r="U234" s="75"/>
      <c r="V234" s="103"/>
      <c r="W234" s="73"/>
      <c r="X234" s="89">
        <f t="shared" si="24"/>
        <v>0</v>
      </c>
      <c r="Y234" s="75" t="s">
        <v>6</v>
      </c>
      <c r="Z234" s="97">
        <f t="shared" si="25"/>
        <v>3</v>
      </c>
      <c r="AA234" s="104" t="str">
        <f>IF(X234&gt;Z234,N226,IF(X234&lt;Z234,N228,0))</f>
        <v>Victòria Sancho</v>
      </c>
    </row>
    <row r="235" spans="1:27" ht="17.25" customHeight="1" thickBot="1">
      <c r="A235" s="185">
        <v>0.4305555555555556</v>
      </c>
      <c r="B235" s="82" t="s">
        <v>45</v>
      </c>
      <c r="C235" s="88">
        <v>4</v>
      </c>
      <c r="D235" s="92">
        <v>1</v>
      </c>
      <c r="E235" s="93" t="s">
        <v>6</v>
      </c>
      <c r="F235" s="94">
        <v>2</v>
      </c>
      <c r="G235" s="91"/>
      <c r="H235" s="95">
        <v>9</v>
      </c>
      <c r="I235" s="74"/>
      <c r="J235" s="96">
        <v>11</v>
      </c>
      <c r="K235" s="95">
        <v>11</v>
      </c>
      <c r="L235" s="74"/>
      <c r="M235" s="96">
        <v>9</v>
      </c>
      <c r="N235" s="95">
        <v>11</v>
      </c>
      <c r="O235" s="74"/>
      <c r="P235" s="96">
        <v>6</v>
      </c>
      <c r="Q235" s="95">
        <v>11</v>
      </c>
      <c r="R235" s="74"/>
      <c r="S235" s="96">
        <v>9</v>
      </c>
      <c r="T235" s="95"/>
      <c r="U235" s="74"/>
      <c r="V235" s="96"/>
      <c r="W235" s="91"/>
      <c r="X235" s="89">
        <f t="shared" si="24"/>
        <v>3</v>
      </c>
      <c r="Y235" s="74" t="s">
        <v>6</v>
      </c>
      <c r="Z235" s="97">
        <f t="shared" si="25"/>
        <v>1</v>
      </c>
      <c r="AA235" s="98" t="str">
        <f>IF(X235&gt;Z235,N225,IF(X235&lt;Z235,N226,0))</f>
        <v>Jordi Rodriguez</v>
      </c>
    </row>
    <row r="236" spans="1:27" ht="18" customHeight="1" thickBot="1">
      <c r="A236" s="185">
        <v>0.4444444444444444</v>
      </c>
      <c r="B236" s="82" t="s">
        <v>45</v>
      </c>
      <c r="C236" s="99">
        <v>2</v>
      </c>
      <c r="D236" s="100">
        <v>3</v>
      </c>
      <c r="E236" s="101" t="s">
        <v>6</v>
      </c>
      <c r="F236" s="87">
        <v>4</v>
      </c>
      <c r="G236" s="71"/>
      <c r="H236" s="95">
        <v>5</v>
      </c>
      <c r="I236" s="74"/>
      <c r="J236" s="96">
        <v>11</v>
      </c>
      <c r="K236" s="95">
        <v>10</v>
      </c>
      <c r="L236" s="74"/>
      <c r="M236" s="96">
        <v>12</v>
      </c>
      <c r="N236" s="95">
        <v>11</v>
      </c>
      <c r="O236" s="74"/>
      <c r="P236" s="96">
        <v>5</v>
      </c>
      <c r="Q236" s="105">
        <v>11</v>
      </c>
      <c r="R236" s="76"/>
      <c r="S236" s="106">
        <v>2</v>
      </c>
      <c r="T236" s="105">
        <v>12</v>
      </c>
      <c r="U236" s="76"/>
      <c r="V236" s="106">
        <v>10</v>
      </c>
      <c r="W236" s="73"/>
      <c r="X236" s="107">
        <f t="shared" si="24"/>
        <v>3</v>
      </c>
      <c r="Y236" s="76" t="s">
        <v>6</v>
      </c>
      <c r="Z236" s="108">
        <f t="shared" si="25"/>
        <v>2</v>
      </c>
      <c r="AA236" s="109" t="str">
        <f>IF(X236&gt;Z236,N227,IF(X236&lt;Z236,N228,0))</f>
        <v>Jordi Ros</v>
      </c>
    </row>
    <row r="237" spans="1:27" ht="15.75" thickBot="1">
      <c r="A237" s="71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</row>
    <row r="238" spans="1:27" ht="6.75" customHeight="1" thickBot="1">
      <c r="A238" s="72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</row>
    <row r="239" spans="1:27" ht="16.5" thickBot="1">
      <c r="A239" s="86" t="s">
        <v>36</v>
      </c>
      <c r="B239" s="87">
        <v>14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</row>
    <row r="240" spans="1:27" ht="6.75" customHeight="1" thickBot="1">
      <c r="A240" s="71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</row>
    <row r="241" spans="1:27" ht="16.5" thickBot="1">
      <c r="A241" s="228" t="s">
        <v>0</v>
      </c>
      <c r="B241" s="229"/>
      <c r="C241" s="230"/>
      <c r="D241" s="203"/>
      <c r="E241" s="203"/>
      <c r="F241" s="71"/>
      <c r="G241" s="71"/>
      <c r="H241" s="71"/>
      <c r="I241" s="71"/>
      <c r="J241" s="71"/>
      <c r="K241" s="228" t="s">
        <v>2</v>
      </c>
      <c r="L241" s="229"/>
      <c r="M241" s="229"/>
      <c r="N241" s="229" t="s">
        <v>1</v>
      </c>
      <c r="O241" s="229"/>
      <c r="P241" s="229"/>
      <c r="Q241" s="229"/>
      <c r="R241" s="229"/>
      <c r="S241" s="229"/>
      <c r="T241" s="229"/>
      <c r="U241" s="229"/>
      <c r="V241" s="230"/>
      <c r="W241" s="71"/>
      <c r="X241" s="214" t="s">
        <v>35</v>
      </c>
      <c r="Y241" s="215"/>
      <c r="Z241" s="216"/>
      <c r="AA241" s="88" t="s">
        <v>38</v>
      </c>
    </row>
    <row r="242" spans="1:27" ht="15.75">
      <c r="A242" s="209">
        <v>53</v>
      </c>
      <c r="B242" s="210"/>
      <c r="C242" s="211"/>
      <c r="D242" s="203"/>
      <c r="E242" s="203"/>
      <c r="F242" s="203"/>
      <c r="G242" s="203"/>
      <c r="H242" s="203"/>
      <c r="I242" s="203"/>
      <c r="J242" s="71"/>
      <c r="K242" s="212">
        <v>1</v>
      </c>
      <c r="L242" s="213"/>
      <c r="M242" s="213"/>
      <c r="N242" s="223" t="str">
        <f>VLOOKUP(A242,'[4]Inscripcions'!$A$7:$B$209,2)</f>
        <v>Pol Ribera</v>
      </c>
      <c r="O242" s="223"/>
      <c r="P242" s="223"/>
      <c r="Q242" s="223"/>
      <c r="R242" s="223"/>
      <c r="S242" s="223"/>
      <c r="T242" s="223"/>
      <c r="U242" s="223"/>
      <c r="V242" s="224"/>
      <c r="W242" s="71"/>
      <c r="X242" s="225">
        <f>IF(AA248=0,0,IF(N242=AA248,3,1))+IF(AA250=0,0,IF(N242=AA250,3,1))+IF(AA252=0,0,IF(N242=AA252,3,1))</f>
        <v>3</v>
      </c>
      <c r="Y242" s="226"/>
      <c r="Z242" s="227"/>
      <c r="AA242" s="84" t="str">
        <f>IF(X242&gt;8,"1r",IF(X242&gt;6,"2n",IF(X242&gt;3,"3r",IF(X242&gt;2,"4t",))))</f>
        <v>4t</v>
      </c>
    </row>
    <row r="243" spans="1:27" ht="15.75">
      <c r="A243" s="233">
        <v>54</v>
      </c>
      <c r="B243" s="234"/>
      <c r="C243" s="235"/>
      <c r="D243" s="203"/>
      <c r="E243" s="203"/>
      <c r="F243" s="203"/>
      <c r="G243" s="203"/>
      <c r="H243" s="203"/>
      <c r="I243" s="203"/>
      <c r="J243" s="71"/>
      <c r="K243" s="231">
        <v>2</v>
      </c>
      <c r="L243" s="232"/>
      <c r="M243" s="232"/>
      <c r="N243" s="223" t="str">
        <f>VLOOKUP(A243,'[4]Inscripcions'!$A$7:$B$209,2)</f>
        <v>Marc Sancho</v>
      </c>
      <c r="O243" s="223"/>
      <c r="P243" s="223"/>
      <c r="Q243" s="223"/>
      <c r="R243" s="223"/>
      <c r="S243" s="223"/>
      <c r="T243" s="223"/>
      <c r="U243" s="223"/>
      <c r="V243" s="224"/>
      <c r="W243" s="71"/>
      <c r="X243" s="225">
        <f>IF(AA249=0,0,IF(N243=AA249,3,1))+IF(AA251=0,0,IF(N243=AA251,3,1))+IF(AA252=0,0,IF(N243=AA252,3,1))</f>
        <v>9</v>
      </c>
      <c r="Y243" s="226"/>
      <c r="Z243" s="227"/>
      <c r="AA243" s="83" t="str">
        <f>IF(X243&gt;8,"1r",IF(X243&gt;6,"2n",IF(X243&gt;3,"3r",IF(X243&gt;2,"4t",))))</f>
        <v>1r</v>
      </c>
    </row>
    <row r="244" spans="1:27" ht="15.75">
      <c r="A244" s="209">
        <v>55</v>
      </c>
      <c r="B244" s="210"/>
      <c r="C244" s="211"/>
      <c r="D244" s="203"/>
      <c r="E244" s="203"/>
      <c r="F244" s="203"/>
      <c r="G244" s="203"/>
      <c r="H244" s="203"/>
      <c r="I244" s="203"/>
      <c r="J244" s="71"/>
      <c r="K244" s="231">
        <v>3</v>
      </c>
      <c r="L244" s="232"/>
      <c r="M244" s="232"/>
      <c r="N244" s="223" t="str">
        <f>VLOOKUP(A244,'[4]Inscripcions'!$A$7:$B$209,2)</f>
        <v>Gerard Bernadó</v>
      </c>
      <c r="O244" s="223"/>
      <c r="P244" s="223"/>
      <c r="Q244" s="223"/>
      <c r="R244" s="223"/>
      <c r="S244" s="223"/>
      <c r="T244" s="223"/>
      <c r="U244" s="223"/>
      <c r="V244" s="224"/>
      <c r="W244" s="71"/>
      <c r="X244" s="225">
        <f>IF(AA249=0,0,IF(N244=AA249,3,1))+IF(AA250=0,0,IF(N244=AA250,3,1))+IF(AA253=0,0,IF(N244=AA253,3,1))</f>
        <v>7</v>
      </c>
      <c r="Y244" s="226"/>
      <c r="Z244" s="227"/>
      <c r="AA244" s="83" t="str">
        <f>IF(X244&gt;8,"1r",IF(X244&gt;6,"2n",IF(X244&gt;3,"3r",IF(X244&gt;2,"4t",))))</f>
        <v>2n</v>
      </c>
    </row>
    <row r="245" spans="1:27" ht="15.75">
      <c r="A245" s="233">
        <v>56</v>
      </c>
      <c r="B245" s="234"/>
      <c r="C245" s="235"/>
      <c r="D245" s="203"/>
      <c r="E245" s="203"/>
      <c r="F245" s="203"/>
      <c r="G245" s="203"/>
      <c r="H245" s="203"/>
      <c r="I245" s="203"/>
      <c r="J245" s="71"/>
      <c r="K245" s="231">
        <v>4</v>
      </c>
      <c r="L245" s="232"/>
      <c r="M245" s="232"/>
      <c r="N245" s="223" t="str">
        <f>VLOOKUP(A245,'[4]Inscripcions'!$A$7:$B$209,2)</f>
        <v>Oriol Purroy</v>
      </c>
      <c r="O245" s="223"/>
      <c r="P245" s="223"/>
      <c r="Q245" s="223"/>
      <c r="R245" s="223"/>
      <c r="S245" s="223"/>
      <c r="T245" s="223"/>
      <c r="U245" s="223"/>
      <c r="V245" s="224"/>
      <c r="W245" s="71"/>
      <c r="X245" s="225">
        <f>IF(AA248=0,0,IF(N245=AA248,3,1))+IF(AA251=0,0,IF(N245=AA251,3,1))+IF(AA253=0,0,IF(N245=AA253,3,1))</f>
        <v>5</v>
      </c>
      <c r="Y245" s="226"/>
      <c r="Z245" s="227"/>
      <c r="AA245" s="83" t="str">
        <f>IF(X245&gt;8,"1r",IF(X245&gt;6,"2n",IF(X245&gt;3,"3r",IF(X245&gt;2,"4t",))))</f>
        <v>3r</v>
      </c>
    </row>
    <row r="246" spans="1:27" ht="6.75" customHeight="1" thickBot="1">
      <c r="A246" s="71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</row>
    <row r="247" spans="1:27" ht="13.5" customHeight="1" thickBot="1">
      <c r="A247" s="90" t="s">
        <v>11</v>
      </c>
      <c r="B247" s="90" t="s">
        <v>14</v>
      </c>
      <c r="C247" s="90" t="s">
        <v>4</v>
      </c>
      <c r="D247" s="217" t="s">
        <v>3</v>
      </c>
      <c r="E247" s="218"/>
      <c r="F247" s="219"/>
      <c r="G247" s="91"/>
      <c r="H247" s="220" t="s">
        <v>5</v>
      </c>
      <c r="I247" s="221"/>
      <c r="J247" s="222"/>
      <c r="K247" s="220" t="s">
        <v>7</v>
      </c>
      <c r="L247" s="221"/>
      <c r="M247" s="222"/>
      <c r="N247" s="220" t="s">
        <v>8</v>
      </c>
      <c r="O247" s="221"/>
      <c r="P247" s="222"/>
      <c r="Q247" s="220" t="s">
        <v>9</v>
      </c>
      <c r="R247" s="221"/>
      <c r="S247" s="222"/>
      <c r="T247" s="220" t="s">
        <v>10</v>
      </c>
      <c r="U247" s="221"/>
      <c r="V247" s="222"/>
      <c r="W247" s="91"/>
      <c r="X247" s="220" t="s">
        <v>12</v>
      </c>
      <c r="Y247" s="221"/>
      <c r="Z247" s="222"/>
      <c r="AA247" s="90" t="s">
        <v>13</v>
      </c>
    </row>
    <row r="248" spans="1:27" ht="15.75" customHeight="1" thickBot="1">
      <c r="A248" s="195">
        <v>0.375</v>
      </c>
      <c r="B248" s="82" t="s">
        <v>46</v>
      </c>
      <c r="C248" s="88">
        <v>3</v>
      </c>
      <c r="D248" s="92">
        <v>1</v>
      </c>
      <c r="E248" s="93" t="s">
        <v>6</v>
      </c>
      <c r="F248" s="94">
        <v>4</v>
      </c>
      <c r="G248" s="91"/>
      <c r="H248" s="95">
        <v>3</v>
      </c>
      <c r="I248" s="74"/>
      <c r="J248" s="96">
        <v>11</v>
      </c>
      <c r="K248" s="95">
        <v>5</v>
      </c>
      <c r="L248" s="74"/>
      <c r="M248" s="96">
        <v>11</v>
      </c>
      <c r="N248" s="95">
        <v>5</v>
      </c>
      <c r="O248" s="74"/>
      <c r="P248" s="96">
        <v>11</v>
      </c>
      <c r="Q248" s="95"/>
      <c r="R248" s="74"/>
      <c r="S248" s="96"/>
      <c r="T248" s="95"/>
      <c r="U248" s="74"/>
      <c r="V248" s="96"/>
      <c r="W248" s="91"/>
      <c r="X248" s="89">
        <f>IF(H248&gt;J248,1,0)+IF(K248&gt;M248,1,0)+IF(N248&gt;P248,1,0)+IF(Q248&gt;S248,1,0)+IF(T248&gt;V248,1,0)</f>
        <v>0</v>
      </c>
      <c r="Y248" s="74" t="s">
        <v>6</v>
      </c>
      <c r="Z248" s="97">
        <f>IF(H248&lt;J248,1,0)+IF(K248&lt;M248,1,0)+IF(N248&lt;P248,1,0)+IF(Q248&lt;S248,1,0)+IF(T248&lt;V248,1,0)</f>
        <v>3</v>
      </c>
      <c r="AA248" s="98" t="str">
        <f>IF(X248&gt;Z248,N242,IF(X248&lt;Z248,N245,0))</f>
        <v>Oriol Purroy</v>
      </c>
    </row>
    <row r="249" spans="1:27" ht="16.5" customHeight="1" thickBot="1">
      <c r="A249" s="185">
        <v>0.3888888888888889</v>
      </c>
      <c r="B249" s="82" t="s">
        <v>46</v>
      </c>
      <c r="C249" s="99">
        <v>1</v>
      </c>
      <c r="D249" s="100">
        <v>2</v>
      </c>
      <c r="E249" s="101" t="s">
        <v>6</v>
      </c>
      <c r="F249" s="87">
        <v>3</v>
      </c>
      <c r="G249" s="71"/>
      <c r="H249" s="95">
        <v>11</v>
      </c>
      <c r="I249" s="74"/>
      <c r="J249" s="96">
        <v>6</v>
      </c>
      <c r="K249" s="95">
        <v>13</v>
      </c>
      <c r="L249" s="74"/>
      <c r="M249" s="96">
        <v>11</v>
      </c>
      <c r="N249" s="95">
        <v>11</v>
      </c>
      <c r="O249" s="74"/>
      <c r="P249" s="96">
        <v>5</v>
      </c>
      <c r="Q249" s="102"/>
      <c r="R249" s="75"/>
      <c r="S249" s="103"/>
      <c r="T249" s="102"/>
      <c r="U249" s="75"/>
      <c r="V249" s="103"/>
      <c r="W249" s="73"/>
      <c r="X249" s="89">
        <f>IF(H249&gt;J249,1,0)+IF(K249&gt;M249,1,0)+IF(N249&gt;P249,1,0)+IF(Q249&gt;S249,1,0)+IF(T249&gt;V249,1,0)</f>
        <v>3</v>
      </c>
      <c r="Y249" s="75" t="s">
        <v>6</v>
      </c>
      <c r="Z249" s="97">
        <f>IF(H249&lt;J249,1,0)+IF(K249&lt;M249,1,0)+IF(N249&lt;P249,1,0)+IF(Q249&lt;S249,1,0)+IF(T249&lt;V249,1,0)</f>
        <v>0</v>
      </c>
      <c r="AA249" s="104" t="str">
        <f>IF(X249&gt;Z249,N243,IF(X249&lt;Z249,N244,0))</f>
        <v>Marc Sancho</v>
      </c>
    </row>
    <row r="250" spans="1:27" ht="17.25" customHeight="1" thickBot="1">
      <c r="A250" s="195">
        <v>0.40277777777777773</v>
      </c>
      <c r="B250" s="82" t="s">
        <v>46</v>
      </c>
      <c r="C250" s="88">
        <v>4</v>
      </c>
      <c r="D250" s="92">
        <v>1</v>
      </c>
      <c r="E250" s="93" t="s">
        <v>6</v>
      </c>
      <c r="F250" s="94">
        <v>3</v>
      </c>
      <c r="G250" s="91"/>
      <c r="H250" s="95">
        <v>6</v>
      </c>
      <c r="I250" s="74"/>
      <c r="J250" s="96">
        <v>11</v>
      </c>
      <c r="K250" s="95">
        <v>6</v>
      </c>
      <c r="L250" s="74"/>
      <c r="M250" s="96">
        <v>11</v>
      </c>
      <c r="N250" s="95">
        <v>6</v>
      </c>
      <c r="O250" s="74"/>
      <c r="P250" s="96">
        <v>11</v>
      </c>
      <c r="Q250" s="95"/>
      <c r="R250" s="74"/>
      <c r="S250" s="96"/>
      <c r="T250" s="95"/>
      <c r="U250" s="74"/>
      <c r="V250" s="96"/>
      <c r="W250" s="91"/>
      <c r="X250" s="89">
        <f>IF(H250&gt;J250,1,0)+IF(K250&gt;M250,1,0)+IF(N250&gt;P250,1,0)+IF(Q250&gt;S250,1,0)+IF(T250&gt;V250,1,0)</f>
        <v>0</v>
      </c>
      <c r="Y250" s="74" t="s">
        <v>6</v>
      </c>
      <c r="Z250" s="97">
        <f>IF(H250&lt;J250,1,0)+IF(K250&lt;M250,1,0)+IF(N250&lt;P250,1,0)+IF(Q250&lt;S250,1,0)+IF(T250&lt;V250,1,0)</f>
        <v>3</v>
      </c>
      <c r="AA250" s="98" t="str">
        <f>IF(X250&gt;Z250,N242,IF(X250&lt;Z250,N244,0))</f>
        <v>Gerard Bernadó</v>
      </c>
    </row>
    <row r="251" spans="1:27" ht="16.5" customHeight="1" thickBot="1">
      <c r="A251" s="185">
        <v>0.4166666666666667</v>
      </c>
      <c r="B251" s="82" t="s">
        <v>46</v>
      </c>
      <c r="C251" s="99">
        <v>3</v>
      </c>
      <c r="D251" s="100">
        <v>2</v>
      </c>
      <c r="E251" s="101" t="s">
        <v>6</v>
      </c>
      <c r="F251" s="87">
        <v>4</v>
      </c>
      <c r="G251" s="71"/>
      <c r="H251" s="95">
        <v>12</v>
      </c>
      <c r="I251" s="74"/>
      <c r="J251" s="96">
        <v>10</v>
      </c>
      <c r="K251" s="95">
        <v>11</v>
      </c>
      <c r="L251" s="74"/>
      <c r="M251" s="96">
        <v>7</v>
      </c>
      <c r="N251" s="95">
        <v>11</v>
      </c>
      <c r="O251" s="74"/>
      <c r="P251" s="96">
        <v>7</v>
      </c>
      <c r="Q251" s="102"/>
      <c r="R251" s="75"/>
      <c r="S251" s="186"/>
      <c r="T251" s="102"/>
      <c r="U251" s="75"/>
      <c r="V251" s="103"/>
      <c r="W251" s="73"/>
      <c r="X251" s="89">
        <f>IF(H251&gt;J251,1,0)+IF(K251&gt;M251,1,0)+IF(N251&gt;P251,1,0)+IF(Q251&gt;Q253,1,0)+IF(T251&gt;V251,1,0)</f>
        <v>3</v>
      </c>
      <c r="Y251" s="75" t="s">
        <v>6</v>
      </c>
      <c r="Z251" s="97">
        <f>IF(H251&lt;J251,1,0)+IF(K251&lt;M251,1,0)+IF(N251&lt;P251,1,0)+IF(Q251&lt;Q253,1,0)+IF(T251&lt;V251,1,0)</f>
        <v>1</v>
      </c>
      <c r="AA251" s="104" t="str">
        <f>IF(X251&gt;Z251,N243,IF(X251&lt;Z251,N245,0))</f>
        <v>Marc Sancho</v>
      </c>
    </row>
    <row r="252" spans="1:27" ht="16.5" customHeight="1" thickBot="1">
      <c r="A252" s="185">
        <v>0.4305555555555556</v>
      </c>
      <c r="B252" s="82" t="s">
        <v>46</v>
      </c>
      <c r="C252" s="88">
        <v>4</v>
      </c>
      <c r="D252" s="92">
        <v>1</v>
      </c>
      <c r="E252" s="93" t="s">
        <v>6</v>
      </c>
      <c r="F252" s="94">
        <v>2</v>
      </c>
      <c r="G252" s="91"/>
      <c r="H252" s="95">
        <v>11</v>
      </c>
      <c r="I252" s="74"/>
      <c r="J252" s="96">
        <v>3</v>
      </c>
      <c r="K252" s="95">
        <v>6</v>
      </c>
      <c r="L252" s="74"/>
      <c r="M252" s="96">
        <v>11</v>
      </c>
      <c r="N252" s="95">
        <v>8</v>
      </c>
      <c r="O252" s="74"/>
      <c r="P252" s="96">
        <v>11</v>
      </c>
      <c r="Q252" s="95">
        <v>8</v>
      </c>
      <c r="R252" s="74"/>
      <c r="S252" s="96">
        <v>11</v>
      </c>
      <c r="T252" s="95"/>
      <c r="U252" s="74"/>
      <c r="V252" s="96"/>
      <c r="W252" s="91"/>
      <c r="X252" s="89">
        <f>IF(H252&gt;J252,1,0)+IF(K252&gt;M252,1,0)+IF(N252&gt;P252,1,0)+IF(Q252&gt;S252,1,0)+IF(T252&gt;V252,1,0)</f>
        <v>1</v>
      </c>
      <c r="Y252" s="74" t="s">
        <v>6</v>
      </c>
      <c r="Z252" s="97">
        <f>IF(H252&lt;J252,1,0)+IF(K252&lt;M252,1,0)+IF(N252&lt;P252,1,0)+IF(Q252&lt;S252,1,0)+IF(T252&lt;V252,1,0)</f>
        <v>3</v>
      </c>
      <c r="AA252" s="98" t="str">
        <f>IF(X252&gt;Z252,N242,IF(X252&lt;Z252,N243,0))</f>
        <v>Marc Sancho</v>
      </c>
    </row>
    <row r="253" spans="1:27" ht="16.5" customHeight="1" thickBot="1">
      <c r="A253" s="185">
        <v>0.4444444444444444</v>
      </c>
      <c r="B253" s="82" t="s">
        <v>46</v>
      </c>
      <c r="C253" s="99">
        <v>2</v>
      </c>
      <c r="D253" s="100">
        <v>3</v>
      </c>
      <c r="E253" s="101" t="s">
        <v>6</v>
      </c>
      <c r="F253" s="87">
        <v>4</v>
      </c>
      <c r="G253" s="71"/>
      <c r="H253" s="95">
        <v>5</v>
      </c>
      <c r="I253" s="74"/>
      <c r="J253" s="96">
        <v>11</v>
      </c>
      <c r="K253" s="95">
        <v>13</v>
      </c>
      <c r="L253" s="74"/>
      <c r="M253" s="96">
        <v>11</v>
      </c>
      <c r="N253" s="95">
        <v>11</v>
      </c>
      <c r="O253" s="74"/>
      <c r="P253" s="96">
        <v>5</v>
      </c>
      <c r="Q253" s="103">
        <v>10</v>
      </c>
      <c r="R253" s="76"/>
      <c r="S253" s="106">
        <v>12</v>
      </c>
      <c r="T253" s="105">
        <v>11</v>
      </c>
      <c r="U253" s="76"/>
      <c r="V253" s="106"/>
      <c r="W253" s="73"/>
      <c r="X253" s="89">
        <f>IF(H253&gt;J253,1,0)+IF(K253&gt;M253,1,0)+IF(N253&gt;P253,1,0)+IF(Q253&gt;Q255,1,0)+IF(T253&gt;V253,1,0)</f>
        <v>4</v>
      </c>
      <c r="Y253" s="76" t="s">
        <v>6</v>
      </c>
      <c r="Z253" s="97">
        <f>IF(H253&lt;J253,1,0)+IF(K253&lt;M253,1,0)+IF(N253&lt;P253,1,0)+IF(Q253&lt;Q255,1,0)+IF(T253&lt;V253,1,0)</f>
        <v>1</v>
      </c>
      <c r="AA253" s="109" t="str">
        <f>IF(X253&gt;Z253,N244,IF(X253&lt;Z253,N245,0))</f>
        <v>Gerard Bernadó</v>
      </c>
    </row>
    <row r="254" spans="1:27" ht="15.75" thickBot="1">
      <c r="A254" s="71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</row>
    <row r="255" spans="1:27" ht="6.75" customHeight="1" thickBot="1">
      <c r="A255" s="72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</row>
    <row r="256" spans="1:27" ht="16.5" thickBot="1">
      <c r="A256" s="86" t="s">
        <v>36</v>
      </c>
      <c r="B256" s="87">
        <v>15</v>
      </c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</row>
    <row r="257" spans="1:27" ht="6.75" customHeight="1" thickBot="1">
      <c r="A257" s="71"/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</row>
    <row r="258" spans="1:27" ht="16.5" thickBot="1">
      <c r="A258" s="228" t="s">
        <v>0</v>
      </c>
      <c r="B258" s="229"/>
      <c r="C258" s="230"/>
      <c r="D258" s="203"/>
      <c r="E258" s="203"/>
      <c r="F258" s="71"/>
      <c r="G258" s="71"/>
      <c r="H258" s="71"/>
      <c r="I258" s="71"/>
      <c r="J258" s="71"/>
      <c r="K258" s="228" t="s">
        <v>2</v>
      </c>
      <c r="L258" s="229"/>
      <c r="M258" s="229"/>
      <c r="N258" s="229" t="s">
        <v>1</v>
      </c>
      <c r="O258" s="229"/>
      <c r="P258" s="229"/>
      <c r="Q258" s="229"/>
      <c r="R258" s="229"/>
      <c r="S258" s="229"/>
      <c r="T258" s="229"/>
      <c r="U258" s="229"/>
      <c r="V258" s="230"/>
      <c r="W258" s="71"/>
      <c r="X258" s="214" t="s">
        <v>35</v>
      </c>
      <c r="Y258" s="215"/>
      <c r="Z258" s="216"/>
      <c r="AA258" s="88" t="s">
        <v>38</v>
      </c>
    </row>
    <row r="259" spans="1:27" ht="15.75">
      <c r="A259" s="209">
        <v>57</v>
      </c>
      <c r="B259" s="210"/>
      <c r="C259" s="211"/>
      <c r="D259" s="203"/>
      <c r="E259" s="203"/>
      <c r="F259" s="203"/>
      <c r="G259" s="203"/>
      <c r="H259" s="203"/>
      <c r="I259" s="203"/>
      <c r="J259" s="71"/>
      <c r="K259" s="212">
        <v>1</v>
      </c>
      <c r="L259" s="213"/>
      <c r="M259" s="213"/>
      <c r="N259" s="223" t="str">
        <f>VLOOKUP(A259,'[4]Inscripcions'!$A$7:$B$209,2)</f>
        <v>Iker Tudo</v>
      </c>
      <c r="O259" s="223"/>
      <c r="P259" s="223"/>
      <c r="Q259" s="223"/>
      <c r="R259" s="223"/>
      <c r="S259" s="223"/>
      <c r="T259" s="223"/>
      <c r="U259" s="223"/>
      <c r="V259" s="224"/>
      <c r="W259" s="71"/>
      <c r="X259" s="225">
        <f>IF(AA265=0,0,IF(N259=AA265,3,1))+IF(AA267=0,0,IF(N259=AA267,3,1))+IF(AA269=0,0,IF(N259=AA269,3,1))</f>
        <v>3</v>
      </c>
      <c r="Y259" s="226"/>
      <c r="Z259" s="227"/>
      <c r="AA259" s="84" t="str">
        <f>IF(X259&gt;8,"1r",IF(X259&gt;6,"2n",IF(X259&gt;3,"3r",IF(X259&gt;2,"4t",))))</f>
        <v>4t</v>
      </c>
    </row>
    <row r="260" spans="1:27" ht="15.75">
      <c r="A260" s="233">
        <v>58</v>
      </c>
      <c r="B260" s="234"/>
      <c r="C260" s="235"/>
      <c r="D260" s="203"/>
      <c r="E260" s="203"/>
      <c r="F260" s="203"/>
      <c r="G260" s="203"/>
      <c r="H260" s="203"/>
      <c r="I260" s="203"/>
      <c r="J260" s="71"/>
      <c r="K260" s="231">
        <v>2</v>
      </c>
      <c r="L260" s="232"/>
      <c r="M260" s="232"/>
      <c r="N260" s="223" t="str">
        <f>VLOOKUP(A260,'[4]Inscripcions'!$A$7:$B$209,2)</f>
        <v>Carlos Canós</v>
      </c>
      <c r="O260" s="223"/>
      <c r="P260" s="223"/>
      <c r="Q260" s="223"/>
      <c r="R260" s="223"/>
      <c r="S260" s="223"/>
      <c r="T260" s="223"/>
      <c r="U260" s="223"/>
      <c r="V260" s="224"/>
      <c r="W260" s="71"/>
      <c r="X260" s="225">
        <f>IF(AA266=0,0,IF(N260=AA266,3,1))+IF(AA268=0,0,IF(N260=AA268,3,1))+IF(AA269=0,0,IF(N260=AA269,3,1))</f>
        <v>7</v>
      </c>
      <c r="Y260" s="226"/>
      <c r="Z260" s="227"/>
      <c r="AA260" s="83" t="str">
        <f>IF(X260&gt;8,"1r",IF(X260&gt;6,"2n",IF(X260&gt;3,"3r",IF(X260&gt;2,"4t",))))</f>
        <v>2n</v>
      </c>
    </row>
    <row r="261" spans="1:27" ht="15.75">
      <c r="A261" s="209">
        <v>59</v>
      </c>
      <c r="B261" s="210"/>
      <c r="C261" s="211"/>
      <c r="D261" s="203"/>
      <c r="E261" s="203"/>
      <c r="F261" s="203"/>
      <c r="G261" s="203"/>
      <c r="H261" s="203"/>
      <c r="I261" s="203"/>
      <c r="J261" s="71"/>
      <c r="K261" s="231">
        <v>3</v>
      </c>
      <c r="L261" s="232"/>
      <c r="M261" s="232"/>
      <c r="N261" s="223" t="str">
        <f>VLOOKUP(A261,'[4]Inscripcions'!$A$7:$B$209,2)</f>
        <v>Xavier Farré</v>
      </c>
      <c r="O261" s="223"/>
      <c r="P261" s="223"/>
      <c r="Q261" s="223"/>
      <c r="R261" s="223"/>
      <c r="S261" s="223"/>
      <c r="T261" s="223"/>
      <c r="U261" s="223"/>
      <c r="V261" s="224"/>
      <c r="W261" s="71"/>
      <c r="X261" s="225">
        <f>IF(AA266=0,0,IF(N261=AA266,3,1))+IF(AA267=0,0,IF(N261=AA267,3,1))+IF(AA270=0,0,IF(N261=AA270,3,1))</f>
        <v>9</v>
      </c>
      <c r="Y261" s="226"/>
      <c r="Z261" s="227"/>
      <c r="AA261" s="83" t="str">
        <f>IF(X261&gt;8,"1r",IF(X261&gt;6,"2n",IF(X261&gt;3,"3r",IF(X261&gt;2,"4t",))))</f>
        <v>1r</v>
      </c>
    </row>
    <row r="262" spans="1:27" ht="15.75">
      <c r="A262" s="233">
        <v>60</v>
      </c>
      <c r="B262" s="234"/>
      <c r="C262" s="235"/>
      <c r="D262" s="203"/>
      <c r="E262" s="203"/>
      <c r="F262" s="203"/>
      <c r="G262" s="203"/>
      <c r="H262" s="203"/>
      <c r="I262" s="203"/>
      <c r="J262" s="71"/>
      <c r="K262" s="231">
        <v>4</v>
      </c>
      <c r="L262" s="232"/>
      <c r="M262" s="232"/>
      <c r="N262" s="223" t="str">
        <f>VLOOKUP(A262,'[4]Inscripcions'!$A$7:$B$209,2)</f>
        <v>Josep M. Vallés</v>
      </c>
      <c r="O262" s="223"/>
      <c r="P262" s="223"/>
      <c r="Q262" s="223"/>
      <c r="R262" s="223"/>
      <c r="S262" s="223"/>
      <c r="T262" s="223"/>
      <c r="U262" s="223"/>
      <c r="V262" s="224"/>
      <c r="W262" s="71"/>
      <c r="X262" s="225">
        <f>IF(AA265=0,0,IF(N262=AA265,3,1))+IF(AA268=0,0,IF(N262=AA268,3,1))+IF(AA270=0,0,IF(N262=AA270,3,1))</f>
        <v>5</v>
      </c>
      <c r="Y262" s="226"/>
      <c r="Z262" s="227"/>
      <c r="AA262" s="83" t="str">
        <f>IF(X262&gt;8,"1r",IF(X262&gt;6,"2n",IF(X262&gt;3,"3r",IF(X262&gt;2,"4t",))))</f>
        <v>3r</v>
      </c>
    </row>
    <row r="263" spans="1:27" ht="6.75" customHeight="1" thickBot="1">
      <c r="A263" s="71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</row>
    <row r="264" spans="1:27" ht="13.5" customHeight="1" thickBot="1">
      <c r="A264" s="90" t="s">
        <v>11</v>
      </c>
      <c r="B264" s="90" t="s">
        <v>14</v>
      </c>
      <c r="C264" s="90" t="s">
        <v>4</v>
      </c>
      <c r="D264" s="217" t="s">
        <v>3</v>
      </c>
      <c r="E264" s="218"/>
      <c r="F264" s="219"/>
      <c r="G264" s="91"/>
      <c r="H264" s="220" t="s">
        <v>5</v>
      </c>
      <c r="I264" s="221"/>
      <c r="J264" s="222"/>
      <c r="K264" s="220" t="s">
        <v>7</v>
      </c>
      <c r="L264" s="221"/>
      <c r="M264" s="222"/>
      <c r="N264" s="220" t="s">
        <v>8</v>
      </c>
      <c r="O264" s="221"/>
      <c r="P264" s="222"/>
      <c r="Q264" s="220" t="s">
        <v>9</v>
      </c>
      <c r="R264" s="221"/>
      <c r="S264" s="222"/>
      <c r="T264" s="220" t="s">
        <v>10</v>
      </c>
      <c r="U264" s="221"/>
      <c r="V264" s="222"/>
      <c r="W264" s="91"/>
      <c r="X264" s="220" t="s">
        <v>12</v>
      </c>
      <c r="Y264" s="221"/>
      <c r="Z264" s="222"/>
      <c r="AA264" s="90" t="s">
        <v>13</v>
      </c>
    </row>
    <row r="265" spans="1:27" ht="18" customHeight="1" thickBot="1">
      <c r="A265" s="185">
        <v>0.4583333333333333</v>
      </c>
      <c r="B265" s="82" t="s">
        <v>41</v>
      </c>
      <c r="C265" s="88">
        <v>3</v>
      </c>
      <c r="D265" s="92">
        <v>1</v>
      </c>
      <c r="E265" s="93" t="s">
        <v>6</v>
      </c>
      <c r="F265" s="94">
        <v>4</v>
      </c>
      <c r="G265" s="91"/>
      <c r="H265" s="95">
        <v>7</v>
      </c>
      <c r="I265" s="74"/>
      <c r="J265" s="96">
        <v>11</v>
      </c>
      <c r="K265" s="95">
        <v>9</v>
      </c>
      <c r="L265" s="74"/>
      <c r="M265" s="96">
        <v>11</v>
      </c>
      <c r="N265" s="95">
        <v>10</v>
      </c>
      <c r="O265" s="74"/>
      <c r="P265" s="96">
        <v>12</v>
      </c>
      <c r="Q265" s="95"/>
      <c r="R265" s="74"/>
      <c r="S265" s="96"/>
      <c r="T265" s="95"/>
      <c r="U265" s="74"/>
      <c r="V265" s="96"/>
      <c r="W265" s="91"/>
      <c r="X265" s="89">
        <f aca="true" t="shared" si="26" ref="X265:X270">IF(H265&gt;J265,1,0)+IF(K265&gt;M265,1,0)+IF(N265&gt;P265,1,0)+IF(Q265&gt;S265,1,0)+IF(T265&gt;V265,1,0)</f>
        <v>0</v>
      </c>
      <c r="Y265" s="74" t="s">
        <v>6</v>
      </c>
      <c r="Z265" s="97">
        <f aca="true" t="shared" si="27" ref="Z265:Z270">IF(H265&lt;J265,1,0)+IF(K265&lt;M265,1,0)+IF(N265&lt;P265,1,0)+IF(Q265&lt;S265,1,0)+IF(T265&lt;V265,1,0)</f>
        <v>3</v>
      </c>
      <c r="AA265" s="98" t="str">
        <f>IF(X265&gt;Z265,N259,IF(X265&lt;Z265,N262,0))</f>
        <v>Josep M. Vallés</v>
      </c>
    </row>
    <row r="266" spans="1:27" ht="16.5" customHeight="1" thickBot="1">
      <c r="A266" s="195">
        <v>0.47222222222222227</v>
      </c>
      <c r="B266" s="82" t="s">
        <v>41</v>
      </c>
      <c r="C266" s="99">
        <v>1</v>
      </c>
      <c r="D266" s="100">
        <v>2</v>
      </c>
      <c r="E266" s="101" t="s">
        <v>6</v>
      </c>
      <c r="F266" s="87">
        <v>3</v>
      </c>
      <c r="G266" s="71"/>
      <c r="H266" s="95">
        <v>8</v>
      </c>
      <c r="I266" s="74"/>
      <c r="J266" s="96">
        <v>11</v>
      </c>
      <c r="K266" s="95">
        <v>8</v>
      </c>
      <c r="L266" s="74"/>
      <c r="M266" s="96">
        <v>11</v>
      </c>
      <c r="N266" s="95">
        <v>6</v>
      </c>
      <c r="O266" s="74"/>
      <c r="P266" s="96">
        <v>11</v>
      </c>
      <c r="Q266" s="102"/>
      <c r="R266" s="75"/>
      <c r="S266" s="103"/>
      <c r="T266" s="102"/>
      <c r="U266" s="75"/>
      <c r="V266" s="103"/>
      <c r="W266" s="73"/>
      <c r="X266" s="89">
        <f t="shared" si="26"/>
        <v>0</v>
      </c>
      <c r="Y266" s="75" t="s">
        <v>6</v>
      </c>
      <c r="Z266" s="97">
        <f t="shared" si="27"/>
        <v>3</v>
      </c>
      <c r="AA266" s="104" t="str">
        <f>IF(X266&gt;Z266,N260,IF(X266&lt;Z266,N261,0))</f>
        <v>Xavier Farré</v>
      </c>
    </row>
    <row r="267" spans="1:27" ht="17.25" customHeight="1" thickBot="1">
      <c r="A267" s="195">
        <v>0.4861111111111111</v>
      </c>
      <c r="B267" s="82" t="s">
        <v>41</v>
      </c>
      <c r="C267" s="88">
        <v>4</v>
      </c>
      <c r="D267" s="92">
        <v>1</v>
      </c>
      <c r="E267" s="93" t="s">
        <v>6</v>
      </c>
      <c r="F267" s="94">
        <v>3</v>
      </c>
      <c r="G267" s="91"/>
      <c r="H267" s="95">
        <v>4</v>
      </c>
      <c r="I267" s="74"/>
      <c r="J267" s="96">
        <v>11</v>
      </c>
      <c r="K267" s="95">
        <v>8</v>
      </c>
      <c r="L267" s="74"/>
      <c r="M267" s="96">
        <v>11</v>
      </c>
      <c r="N267" s="95">
        <v>3</v>
      </c>
      <c r="O267" s="74"/>
      <c r="P267" s="96">
        <v>11</v>
      </c>
      <c r="Q267" s="95"/>
      <c r="R267" s="74"/>
      <c r="S267" s="96"/>
      <c r="T267" s="95"/>
      <c r="U267" s="74"/>
      <c r="V267" s="96"/>
      <c r="W267" s="91"/>
      <c r="X267" s="89">
        <f t="shared" si="26"/>
        <v>0</v>
      </c>
      <c r="Y267" s="74" t="s">
        <v>6</v>
      </c>
      <c r="Z267" s="97">
        <f t="shared" si="27"/>
        <v>3</v>
      </c>
      <c r="AA267" s="98" t="str">
        <f>IF(X267&gt;Z267,N259,IF(X267&lt;Z267,N261,0))</f>
        <v>Xavier Farré</v>
      </c>
    </row>
    <row r="268" spans="1:27" ht="14.25" customHeight="1" thickBot="1">
      <c r="A268" s="185">
        <v>0.5</v>
      </c>
      <c r="B268" s="82" t="s">
        <v>41</v>
      </c>
      <c r="C268" s="99">
        <v>3</v>
      </c>
      <c r="D268" s="100">
        <v>2</v>
      </c>
      <c r="E268" s="101" t="s">
        <v>6</v>
      </c>
      <c r="F268" s="87">
        <v>4</v>
      </c>
      <c r="G268" s="71"/>
      <c r="H268" s="95">
        <v>8</v>
      </c>
      <c r="I268" s="74"/>
      <c r="J268" s="96">
        <v>11</v>
      </c>
      <c r="K268" s="95">
        <v>11</v>
      </c>
      <c r="L268" s="74"/>
      <c r="M268" s="96">
        <v>6</v>
      </c>
      <c r="N268" s="95">
        <v>11</v>
      </c>
      <c r="O268" s="74"/>
      <c r="P268" s="96">
        <v>9</v>
      </c>
      <c r="Q268" s="102">
        <v>11</v>
      </c>
      <c r="R268" s="75"/>
      <c r="S268" s="103">
        <v>9</v>
      </c>
      <c r="T268" s="102"/>
      <c r="U268" s="75"/>
      <c r="V268" s="103"/>
      <c r="W268" s="73"/>
      <c r="X268" s="89">
        <f t="shared" si="26"/>
        <v>3</v>
      </c>
      <c r="Y268" s="75" t="s">
        <v>6</v>
      </c>
      <c r="Z268" s="97">
        <f t="shared" si="27"/>
        <v>1</v>
      </c>
      <c r="AA268" s="104" t="str">
        <f>IF(X268&gt;Z268,N260,IF(X268&lt;Z268,N262,0))</f>
        <v>Carlos Canós</v>
      </c>
    </row>
    <row r="269" spans="1:27" ht="16.5" customHeight="1" thickBot="1">
      <c r="A269" s="195">
        <v>0.513888888888889</v>
      </c>
      <c r="B269" s="82" t="s">
        <v>41</v>
      </c>
      <c r="C269" s="88">
        <v>4</v>
      </c>
      <c r="D269" s="92">
        <v>1</v>
      </c>
      <c r="E269" s="93" t="s">
        <v>6</v>
      </c>
      <c r="F269" s="94">
        <v>2</v>
      </c>
      <c r="G269" s="91"/>
      <c r="H269" s="95">
        <v>11</v>
      </c>
      <c r="I269" s="74"/>
      <c r="J269" s="96">
        <v>8</v>
      </c>
      <c r="K269" s="95">
        <v>5</v>
      </c>
      <c r="L269" s="74"/>
      <c r="M269" s="96">
        <v>11</v>
      </c>
      <c r="N269" s="95">
        <v>9</v>
      </c>
      <c r="O269" s="74"/>
      <c r="P269" s="96">
        <v>11</v>
      </c>
      <c r="Q269" s="95">
        <v>4</v>
      </c>
      <c r="R269" s="74"/>
      <c r="S269" s="96">
        <v>11</v>
      </c>
      <c r="T269" s="95"/>
      <c r="U269" s="74"/>
      <c r="V269" s="96"/>
      <c r="W269" s="91"/>
      <c r="X269" s="89">
        <f t="shared" si="26"/>
        <v>1</v>
      </c>
      <c r="Y269" s="74" t="s">
        <v>6</v>
      </c>
      <c r="Z269" s="97">
        <f t="shared" si="27"/>
        <v>3</v>
      </c>
      <c r="AA269" s="98" t="str">
        <f>IF(X269&gt;Z269,N259,IF(X269&lt;Z269,N260,0))</f>
        <v>Carlos Canós</v>
      </c>
    </row>
    <row r="270" spans="1:27" ht="15.75" customHeight="1" thickBot="1">
      <c r="A270" s="185">
        <v>0.5277777777777778</v>
      </c>
      <c r="B270" s="82" t="s">
        <v>41</v>
      </c>
      <c r="C270" s="99">
        <v>2</v>
      </c>
      <c r="D270" s="100">
        <v>3</v>
      </c>
      <c r="E270" s="101" t="s">
        <v>6</v>
      </c>
      <c r="F270" s="87">
        <v>4</v>
      </c>
      <c r="G270" s="71"/>
      <c r="H270" s="95">
        <v>11</v>
      </c>
      <c r="I270" s="74"/>
      <c r="J270" s="96">
        <v>9</v>
      </c>
      <c r="K270" s="95">
        <v>7</v>
      </c>
      <c r="L270" s="74"/>
      <c r="M270" s="96">
        <v>11</v>
      </c>
      <c r="N270" s="95">
        <v>12</v>
      </c>
      <c r="O270" s="74"/>
      <c r="P270" s="96">
        <v>10</v>
      </c>
      <c r="Q270" s="105">
        <v>11</v>
      </c>
      <c r="R270" s="76"/>
      <c r="S270" s="106">
        <v>8</v>
      </c>
      <c r="T270" s="105"/>
      <c r="U270" s="76"/>
      <c r="V270" s="106"/>
      <c r="W270" s="73"/>
      <c r="X270" s="107">
        <f t="shared" si="26"/>
        <v>3</v>
      </c>
      <c r="Y270" s="76" t="s">
        <v>6</v>
      </c>
      <c r="Z270" s="108">
        <f t="shared" si="27"/>
        <v>1</v>
      </c>
      <c r="AA270" s="109" t="str">
        <f>IF(X270&gt;Z270,N261,IF(X270&lt;Z270,N262,0))</f>
        <v>Xavier Farré</v>
      </c>
    </row>
    <row r="271" spans="1:27" ht="15.75" thickBot="1">
      <c r="A271" s="71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</row>
    <row r="272" spans="1:27" ht="6.75" customHeight="1" thickBot="1">
      <c r="A272" s="72"/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</row>
    <row r="273" spans="1:27" ht="16.5" thickBot="1">
      <c r="A273" s="86" t="s">
        <v>36</v>
      </c>
      <c r="B273" s="87">
        <v>16</v>
      </c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</row>
    <row r="274" spans="1:27" ht="6.75" customHeight="1" thickBot="1">
      <c r="A274" s="71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</row>
    <row r="275" spans="1:27" ht="16.5" thickBot="1">
      <c r="A275" s="228" t="s">
        <v>0</v>
      </c>
      <c r="B275" s="229"/>
      <c r="C275" s="230"/>
      <c r="D275" s="203"/>
      <c r="E275" s="203"/>
      <c r="F275" s="71"/>
      <c r="G275" s="71"/>
      <c r="H275" s="71"/>
      <c r="I275" s="71"/>
      <c r="J275" s="71"/>
      <c r="K275" s="228" t="s">
        <v>2</v>
      </c>
      <c r="L275" s="229"/>
      <c r="M275" s="229"/>
      <c r="N275" s="229" t="s">
        <v>1</v>
      </c>
      <c r="O275" s="229"/>
      <c r="P275" s="229"/>
      <c r="Q275" s="229"/>
      <c r="R275" s="229"/>
      <c r="S275" s="229"/>
      <c r="T275" s="229"/>
      <c r="U275" s="229"/>
      <c r="V275" s="230"/>
      <c r="W275" s="71"/>
      <c r="X275" s="214" t="s">
        <v>35</v>
      </c>
      <c r="Y275" s="215"/>
      <c r="Z275" s="216"/>
      <c r="AA275" s="88" t="s">
        <v>38</v>
      </c>
    </row>
    <row r="276" spans="1:27" ht="15.75">
      <c r="A276" s="209">
        <v>61</v>
      </c>
      <c r="B276" s="210"/>
      <c r="C276" s="211"/>
      <c r="D276" s="203"/>
      <c r="E276" s="203"/>
      <c r="F276" s="203"/>
      <c r="G276" s="203"/>
      <c r="H276" s="203"/>
      <c r="I276" s="203"/>
      <c r="J276" s="71"/>
      <c r="K276" s="212">
        <v>1</v>
      </c>
      <c r="L276" s="213"/>
      <c r="M276" s="213"/>
      <c r="N276" s="223" t="str">
        <f>VLOOKUP(A276,'[4]Inscripcions'!$A$7:$B$209,2)</f>
        <v>Àngel Garcia</v>
      </c>
      <c r="O276" s="223"/>
      <c r="P276" s="223"/>
      <c r="Q276" s="223"/>
      <c r="R276" s="223"/>
      <c r="S276" s="223"/>
      <c r="T276" s="223"/>
      <c r="U276" s="223"/>
      <c r="V276" s="224"/>
      <c r="W276" s="71"/>
      <c r="X276" s="225">
        <f>IF(AA282=0,0,IF(N276=AA282,3,1))+IF(AA284=0,0,IF(N276=AA284,3,1))+IF(AA286=0,0,IF(N276=AA286,3,1))</f>
        <v>7</v>
      </c>
      <c r="Y276" s="226"/>
      <c r="Z276" s="227"/>
      <c r="AA276" s="84" t="str">
        <f>IF(X276&gt;8,"1r",IF(X276&gt;6,"2n",IF(X276&gt;3,"3r",IF(X276&gt;2,"4t",))))</f>
        <v>2n</v>
      </c>
    </row>
    <row r="277" spans="1:27" ht="15.75">
      <c r="A277" s="233">
        <v>62</v>
      </c>
      <c r="B277" s="234"/>
      <c r="C277" s="235"/>
      <c r="D277" s="203"/>
      <c r="E277" s="203"/>
      <c r="F277" s="203"/>
      <c r="G277" s="203"/>
      <c r="H277" s="203"/>
      <c r="I277" s="203"/>
      <c r="J277" s="71"/>
      <c r="K277" s="231">
        <v>2</v>
      </c>
      <c r="L277" s="232"/>
      <c r="M277" s="232"/>
      <c r="N277" s="223" t="str">
        <f>VLOOKUP(A277,'[4]Inscripcions'!$A$7:$B$209,2)</f>
        <v>Marius Pop</v>
      </c>
      <c r="O277" s="223"/>
      <c r="P277" s="223"/>
      <c r="Q277" s="223"/>
      <c r="R277" s="223"/>
      <c r="S277" s="223"/>
      <c r="T277" s="223"/>
      <c r="U277" s="223"/>
      <c r="V277" s="224"/>
      <c r="W277" s="71"/>
      <c r="X277" s="225">
        <f>IF(AA283=0,0,IF(N277=AA283,3,1))+IF(AA285=0,0,IF(N277=AA285,3,1))+IF(AA286=0,0,IF(N277=AA286,3,1))</f>
        <v>5</v>
      </c>
      <c r="Y277" s="226"/>
      <c r="Z277" s="227"/>
      <c r="AA277" s="83" t="str">
        <f>IF(X277&gt;8,"1r",IF(X277&gt;6,"2n",IF(X277&gt;3,"3r",IF(X277&gt;2,"4t",))))</f>
        <v>3r</v>
      </c>
    </row>
    <row r="278" spans="1:27" ht="15.75">
      <c r="A278" s="209">
        <v>63</v>
      </c>
      <c r="B278" s="210"/>
      <c r="C278" s="211"/>
      <c r="D278" s="203"/>
      <c r="E278" s="203"/>
      <c r="F278" s="203"/>
      <c r="G278" s="203"/>
      <c r="H278" s="203"/>
      <c r="I278" s="203"/>
      <c r="J278" s="71"/>
      <c r="K278" s="231">
        <v>3</v>
      </c>
      <c r="L278" s="232"/>
      <c r="M278" s="232"/>
      <c r="N278" s="223" t="str">
        <f>VLOOKUP(A278,'[4]Inscripcions'!$A$7:$B$209,2)</f>
        <v>Joan González</v>
      </c>
      <c r="O278" s="223"/>
      <c r="P278" s="223"/>
      <c r="Q278" s="223"/>
      <c r="R278" s="223"/>
      <c r="S278" s="223"/>
      <c r="T278" s="223"/>
      <c r="U278" s="223"/>
      <c r="V278" s="224"/>
      <c r="W278" s="71"/>
      <c r="X278" s="225">
        <f>IF(AA283=0,0,IF(N278=AA283,3,1))+IF(AA284=0,0,IF(N278=AA284,3,1))+IF(AA287=0,0,IF(N278=AA287,3,1))</f>
        <v>3</v>
      </c>
      <c r="Y278" s="226"/>
      <c r="Z278" s="227"/>
      <c r="AA278" s="83" t="str">
        <f>IF(X278&gt;8,"1r",IF(X278&gt;6,"2n",IF(X278&gt;3,"3r",IF(X278&gt;2,"4t",))))</f>
        <v>4t</v>
      </c>
    </row>
    <row r="279" spans="1:27" ht="15.75">
      <c r="A279" s="233">
        <v>64</v>
      </c>
      <c r="B279" s="234"/>
      <c r="C279" s="235"/>
      <c r="D279" s="203"/>
      <c r="E279" s="203"/>
      <c r="F279" s="203"/>
      <c r="G279" s="203"/>
      <c r="H279" s="203"/>
      <c r="I279" s="203"/>
      <c r="J279" s="71"/>
      <c r="K279" s="231">
        <v>4</v>
      </c>
      <c r="L279" s="232"/>
      <c r="M279" s="232"/>
      <c r="N279" s="223" t="str">
        <f>VLOOKUP(A279,'[4]Inscripcions'!$A$7:$B$209,2)</f>
        <v>Sebastian Lech</v>
      </c>
      <c r="O279" s="223"/>
      <c r="P279" s="223"/>
      <c r="Q279" s="223"/>
      <c r="R279" s="223"/>
      <c r="S279" s="223"/>
      <c r="T279" s="223"/>
      <c r="U279" s="223"/>
      <c r="V279" s="224"/>
      <c r="W279" s="71"/>
      <c r="X279" s="225">
        <f>IF(AA282=0,0,IF(N279=AA282,3,1))+IF(AA285=0,0,IF(N279=AA285,3,1))+IF(AA287=0,0,IF(N279=AA287,3,1))</f>
        <v>9</v>
      </c>
      <c r="Y279" s="226"/>
      <c r="Z279" s="227"/>
      <c r="AA279" s="83" t="str">
        <f>IF(X279&gt;8,"1r",IF(X279&gt;6,"2n",IF(X279&gt;3,"3r",IF(X279&gt;2,"4t",))))</f>
        <v>1r</v>
      </c>
    </row>
    <row r="280" spans="1:27" ht="6.75" customHeight="1" thickBot="1">
      <c r="A280" s="71"/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</row>
    <row r="281" spans="1:27" ht="13.5" customHeight="1" thickBot="1">
      <c r="A281" s="90" t="s">
        <v>11</v>
      </c>
      <c r="B281" s="90" t="s">
        <v>14</v>
      </c>
      <c r="C281" s="90" t="s">
        <v>4</v>
      </c>
      <c r="D281" s="217" t="s">
        <v>3</v>
      </c>
      <c r="E281" s="218"/>
      <c r="F281" s="219"/>
      <c r="G281" s="91"/>
      <c r="H281" s="220" t="s">
        <v>5</v>
      </c>
      <c r="I281" s="221"/>
      <c r="J281" s="222"/>
      <c r="K281" s="220" t="s">
        <v>7</v>
      </c>
      <c r="L281" s="221"/>
      <c r="M281" s="222"/>
      <c r="N281" s="220" t="s">
        <v>8</v>
      </c>
      <c r="O281" s="221"/>
      <c r="P281" s="222"/>
      <c r="Q281" s="220" t="s">
        <v>9</v>
      </c>
      <c r="R281" s="221"/>
      <c r="S281" s="222"/>
      <c r="T281" s="220" t="s">
        <v>10</v>
      </c>
      <c r="U281" s="221"/>
      <c r="V281" s="222"/>
      <c r="W281" s="91"/>
      <c r="X281" s="220" t="s">
        <v>12</v>
      </c>
      <c r="Y281" s="221"/>
      <c r="Z281" s="222"/>
      <c r="AA281" s="90" t="s">
        <v>13</v>
      </c>
    </row>
    <row r="282" spans="1:27" ht="15.75" customHeight="1" thickBot="1">
      <c r="A282" s="185">
        <v>0.4583333333333333</v>
      </c>
      <c r="B282" s="82" t="s">
        <v>42</v>
      </c>
      <c r="C282" s="88">
        <v>3</v>
      </c>
      <c r="D282" s="92">
        <v>1</v>
      </c>
      <c r="E282" s="93" t="s">
        <v>6</v>
      </c>
      <c r="F282" s="94">
        <v>4</v>
      </c>
      <c r="G282" s="91"/>
      <c r="H282" s="95">
        <v>6</v>
      </c>
      <c r="I282" s="74"/>
      <c r="J282" s="96">
        <v>11</v>
      </c>
      <c r="K282" s="95">
        <v>5</v>
      </c>
      <c r="L282" s="74"/>
      <c r="M282" s="96">
        <v>11</v>
      </c>
      <c r="N282" s="95">
        <v>5</v>
      </c>
      <c r="O282" s="74"/>
      <c r="P282" s="96">
        <v>11</v>
      </c>
      <c r="Q282" s="95"/>
      <c r="R282" s="74"/>
      <c r="S282" s="96"/>
      <c r="T282" s="95"/>
      <c r="U282" s="74"/>
      <c r="V282" s="96"/>
      <c r="W282" s="91"/>
      <c r="X282" s="89">
        <f aca="true" t="shared" si="28" ref="X282:X287">IF(H282&gt;J282,1,0)+IF(K282&gt;M282,1,0)+IF(N282&gt;P282,1,0)+IF(Q282&gt;S282,1,0)+IF(T282&gt;V282,1,0)</f>
        <v>0</v>
      </c>
      <c r="Y282" s="74" t="s">
        <v>6</v>
      </c>
      <c r="Z282" s="97">
        <f aca="true" t="shared" si="29" ref="Z282:Z287">IF(H282&lt;J282,1,0)+IF(K282&lt;M282,1,0)+IF(N282&lt;P282,1,0)+IF(Q282&lt;S282,1,0)+IF(T282&lt;V282,1,0)</f>
        <v>3</v>
      </c>
      <c r="AA282" s="98" t="str">
        <f>IF(X282&gt;Z282,N276,IF(X282&lt;Z282,N279,0))</f>
        <v>Sebastian Lech</v>
      </c>
    </row>
    <row r="283" spans="1:27" ht="17.25" customHeight="1" thickBot="1">
      <c r="A283" s="195">
        <v>0.47222222222222227</v>
      </c>
      <c r="B283" s="82" t="s">
        <v>42</v>
      </c>
      <c r="C283" s="99">
        <v>1</v>
      </c>
      <c r="D283" s="100">
        <v>2</v>
      </c>
      <c r="E283" s="101" t="s">
        <v>6</v>
      </c>
      <c r="F283" s="87">
        <v>3</v>
      </c>
      <c r="G283" s="71"/>
      <c r="H283" s="95">
        <v>6</v>
      </c>
      <c r="I283" s="74"/>
      <c r="J283" s="96">
        <v>11</v>
      </c>
      <c r="K283" s="95">
        <v>11</v>
      </c>
      <c r="L283" s="74"/>
      <c r="M283" s="96">
        <v>2</v>
      </c>
      <c r="N283" s="95">
        <v>11</v>
      </c>
      <c r="O283" s="74"/>
      <c r="P283" s="96">
        <v>9</v>
      </c>
      <c r="Q283" s="102">
        <v>11</v>
      </c>
      <c r="R283" s="75"/>
      <c r="S283" s="103">
        <v>4</v>
      </c>
      <c r="T283" s="102"/>
      <c r="U283" s="75"/>
      <c r="V283" s="103"/>
      <c r="W283" s="73"/>
      <c r="X283" s="89">
        <f t="shared" si="28"/>
        <v>3</v>
      </c>
      <c r="Y283" s="75" t="s">
        <v>6</v>
      </c>
      <c r="Z283" s="97">
        <f t="shared" si="29"/>
        <v>1</v>
      </c>
      <c r="AA283" s="104" t="str">
        <f>IF(X283&gt;Z283,N277,IF(X283&lt;Z283,N278,0))</f>
        <v>Marius Pop</v>
      </c>
    </row>
    <row r="284" spans="1:27" ht="16.5" customHeight="1" thickBot="1">
      <c r="A284" s="195">
        <v>0.4861111111111111</v>
      </c>
      <c r="B284" s="82" t="s">
        <v>42</v>
      </c>
      <c r="C284" s="88">
        <v>4</v>
      </c>
      <c r="D284" s="92">
        <v>1</v>
      </c>
      <c r="E284" s="93" t="s">
        <v>6</v>
      </c>
      <c r="F284" s="94">
        <v>3</v>
      </c>
      <c r="G284" s="91"/>
      <c r="H284" s="95">
        <v>11</v>
      </c>
      <c r="I284" s="74"/>
      <c r="J284" s="96">
        <v>7</v>
      </c>
      <c r="K284" s="95">
        <v>11</v>
      </c>
      <c r="L284" s="74"/>
      <c r="M284" s="96">
        <v>7</v>
      </c>
      <c r="N284" s="95">
        <v>11</v>
      </c>
      <c r="O284" s="74"/>
      <c r="P284" s="96">
        <v>6</v>
      </c>
      <c r="Q284" s="95"/>
      <c r="R284" s="74"/>
      <c r="S284" s="96"/>
      <c r="T284" s="95"/>
      <c r="U284" s="74"/>
      <c r="V284" s="96"/>
      <c r="W284" s="91"/>
      <c r="X284" s="89">
        <f t="shared" si="28"/>
        <v>3</v>
      </c>
      <c r="Y284" s="74" t="s">
        <v>6</v>
      </c>
      <c r="Z284" s="97">
        <f t="shared" si="29"/>
        <v>0</v>
      </c>
      <c r="AA284" s="98" t="str">
        <f>IF(X284&gt;Z284,N276,IF(X284&lt;Z284,N278,0))</f>
        <v>Àngel Garcia</v>
      </c>
    </row>
    <row r="285" spans="1:27" ht="18" customHeight="1" thickBot="1">
      <c r="A285" s="185">
        <v>0.5</v>
      </c>
      <c r="B285" s="82" t="s">
        <v>42</v>
      </c>
      <c r="C285" s="99">
        <v>3</v>
      </c>
      <c r="D285" s="100">
        <v>2</v>
      </c>
      <c r="E285" s="101" t="s">
        <v>6</v>
      </c>
      <c r="F285" s="87">
        <v>4</v>
      </c>
      <c r="G285" s="71"/>
      <c r="H285" s="95">
        <v>4</v>
      </c>
      <c r="I285" s="74"/>
      <c r="J285" s="96">
        <v>11</v>
      </c>
      <c r="K285" s="95">
        <v>6</v>
      </c>
      <c r="L285" s="74"/>
      <c r="M285" s="96">
        <v>11</v>
      </c>
      <c r="N285" s="95">
        <v>3</v>
      </c>
      <c r="O285" s="74"/>
      <c r="P285" s="96">
        <v>11</v>
      </c>
      <c r="Q285" s="102"/>
      <c r="R285" s="75"/>
      <c r="S285" s="103"/>
      <c r="T285" s="102"/>
      <c r="U285" s="75"/>
      <c r="V285" s="103"/>
      <c r="W285" s="73"/>
      <c r="X285" s="89">
        <f t="shared" si="28"/>
        <v>0</v>
      </c>
      <c r="Y285" s="75" t="s">
        <v>6</v>
      </c>
      <c r="Z285" s="97">
        <f t="shared" si="29"/>
        <v>3</v>
      </c>
      <c r="AA285" s="104" t="str">
        <f>IF(X285&gt;Z285,N277,IF(X285&lt;Z285,N279,0))</f>
        <v>Sebastian Lech</v>
      </c>
    </row>
    <row r="286" spans="1:27" ht="15.75" customHeight="1" thickBot="1">
      <c r="A286" s="195">
        <v>0.513888888888889</v>
      </c>
      <c r="B286" s="82" t="s">
        <v>42</v>
      </c>
      <c r="C286" s="88">
        <v>4</v>
      </c>
      <c r="D286" s="92">
        <v>1</v>
      </c>
      <c r="E286" s="93" t="s">
        <v>6</v>
      </c>
      <c r="F286" s="94">
        <v>2</v>
      </c>
      <c r="G286" s="91"/>
      <c r="H286" s="95">
        <v>11</v>
      </c>
      <c r="I286" s="74"/>
      <c r="J286" s="96">
        <v>8</v>
      </c>
      <c r="K286" s="95">
        <v>6</v>
      </c>
      <c r="L286" s="74"/>
      <c r="M286" s="96">
        <v>11</v>
      </c>
      <c r="N286" s="95">
        <v>12</v>
      </c>
      <c r="O286" s="74"/>
      <c r="P286" s="96">
        <v>10</v>
      </c>
      <c r="Q286" s="95">
        <v>11</v>
      </c>
      <c r="R286" s="74"/>
      <c r="S286" s="96">
        <v>4</v>
      </c>
      <c r="T286" s="95"/>
      <c r="U286" s="74"/>
      <c r="V286" s="96"/>
      <c r="W286" s="91"/>
      <c r="X286" s="89">
        <f t="shared" si="28"/>
        <v>3</v>
      </c>
      <c r="Y286" s="74" t="s">
        <v>6</v>
      </c>
      <c r="Z286" s="97">
        <f t="shared" si="29"/>
        <v>1</v>
      </c>
      <c r="AA286" s="98" t="str">
        <f>IF(X286&gt;Z286,N276,IF(X286&lt;Z286,N277,0))</f>
        <v>Àngel Garcia</v>
      </c>
    </row>
    <row r="287" spans="1:27" ht="16.5" customHeight="1" thickBot="1">
      <c r="A287" s="185">
        <v>0.5277777777777778</v>
      </c>
      <c r="B287" s="82" t="s">
        <v>42</v>
      </c>
      <c r="C287" s="99">
        <v>2</v>
      </c>
      <c r="D287" s="100">
        <v>3</v>
      </c>
      <c r="E287" s="101" t="s">
        <v>6</v>
      </c>
      <c r="F287" s="87">
        <v>4</v>
      </c>
      <c r="G287" s="71"/>
      <c r="H287" s="95">
        <v>3</v>
      </c>
      <c r="I287" s="74"/>
      <c r="J287" s="96">
        <v>11</v>
      </c>
      <c r="K287" s="95">
        <v>4</v>
      </c>
      <c r="L287" s="74"/>
      <c r="M287" s="96">
        <v>11</v>
      </c>
      <c r="N287" s="95">
        <v>4</v>
      </c>
      <c r="O287" s="74"/>
      <c r="P287" s="96">
        <v>11</v>
      </c>
      <c r="Q287" s="105"/>
      <c r="R287" s="76"/>
      <c r="S287" s="106"/>
      <c r="T287" s="105"/>
      <c r="U287" s="76"/>
      <c r="V287" s="106"/>
      <c r="W287" s="73"/>
      <c r="X287" s="107">
        <f t="shared" si="28"/>
        <v>0</v>
      </c>
      <c r="Y287" s="76" t="s">
        <v>6</v>
      </c>
      <c r="Z287" s="108">
        <f t="shared" si="29"/>
        <v>3</v>
      </c>
      <c r="AA287" s="109" t="str">
        <f>IF(X287&gt;Z287,N278,IF(X287&lt;Z287,N279,0))</f>
        <v>Sebastian Lech</v>
      </c>
    </row>
    <row r="288" spans="1:27" ht="15.75" thickBot="1">
      <c r="A288" s="71"/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</row>
    <row r="289" spans="1:27" ht="6.75" customHeight="1" thickBot="1">
      <c r="A289" s="72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  <c r="AA289" s="72"/>
    </row>
    <row r="290" spans="1:27" ht="16.5" thickBot="1">
      <c r="A290" s="86" t="s">
        <v>36</v>
      </c>
      <c r="B290" s="87">
        <v>17</v>
      </c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</row>
    <row r="291" spans="1:27" ht="6.75" customHeight="1" thickBot="1">
      <c r="A291" s="71"/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</row>
    <row r="292" spans="1:27" ht="16.5" thickBot="1">
      <c r="A292" s="228" t="s">
        <v>0</v>
      </c>
      <c r="B292" s="229"/>
      <c r="C292" s="230"/>
      <c r="D292" s="203"/>
      <c r="E292" s="203"/>
      <c r="F292" s="71"/>
      <c r="G292" s="71"/>
      <c r="H292" s="71"/>
      <c r="I292" s="71"/>
      <c r="J292" s="71"/>
      <c r="K292" s="228" t="s">
        <v>2</v>
      </c>
      <c r="L292" s="229"/>
      <c r="M292" s="229"/>
      <c r="N292" s="229" t="s">
        <v>1</v>
      </c>
      <c r="O292" s="229"/>
      <c r="P292" s="229"/>
      <c r="Q292" s="229"/>
      <c r="R292" s="229"/>
      <c r="S292" s="229"/>
      <c r="T292" s="229"/>
      <c r="U292" s="229"/>
      <c r="V292" s="230"/>
      <c r="W292" s="71"/>
      <c r="X292" s="214" t="s">
        <v>35</v>
      </c>
      <c r="Y292" s="215"/>
      <c r="Z292" s="216"/>
      <c r="AA292" s="88" t="s">
        <v>38</v>
      </c>
    </row>
    <row r="293" spans="1:27" ht="15.75">
      <c r="A293" s="209">
        <v>65</v>
      </c>
      <c r="B293" s="210"/>
      <c r="C293" s="211"/>
      <c r="D293" s="203"/>
      <c r="E293" s="203"/>
      <c r="F293" s="203"/>
      <c r="G293" s="203"/>
      <c r="H293" s="203"/>
      <c r="I293" s="203"/>
      <c r="J293" s="71"/>
      <c r="K293" s="212">
        <v>1</v>
      </c>
      <c r="L293" s="213"/>
      <c r="M293" s="213"/>
      <c r="N293" s="223" t="str">
        <f>VLOOKUP(A293,'[4]Inscripcions'!$A$7:$B$209,2)</f>
        <v>Joel Parramon</v>
      </c>
      <c r="O293" s="223"/>
      <c r="P293" s="223"/>
      <c r="Q293" s="223"/>
      <c r="R293" s="223"/>
      <c r="S293" s="223"/>
      <c r="T293" s="223"/>
      <c r="U293" s="223"/>
      <c r="V293" s="224"/>
      <c r="W293" s="71"/>
      <c r="X293" s="225">
        <f>IF(AA299=0,0,IF(N293=AA299,3,1))+IF(AA301=0,0,IF(N293=AA301,3,1))+IF(AA303=0,0,IF(N293=AA303,3,1))</f>
        <v>5</v>
      </c>
      <c r="Y293" s="226"/>
      <c r="Z293" s="227"/>
      <c r="AA293" s="84" t="s">
        <v>271</v>
      </c>
    </row>
    <row r="294" spans="1:27" ht="15.75">
      <c r="A294" s="233">
        <v>66</v>
      </c>
      <c r="B294" s="234"/>
      <c r="C294" s="235"/>
      <c r="D294" s="203"/>
      <c r="E294" s="203"/>
      <c r="F294" s="203"/>
      <c r="G294" s="203"/>
      <c r="H294" s="203"/>
      <c r="I294" s="203"/>
      <c r="J294" s="71"/>
      <c r="K294" s="231">
        <v>2</v>
      </c>
      <c r="L294" s="232"/>
      <c r="M294" s="232"/>
      <c r="N294" s="223" t="str">
        <f>VLOOKUP(A294,'[4]Inscripcions'!$A$7:$B$209,2)</f>
        <v>Joan Areny</v>
      </c>
      <c r="O294" s="223"/>
      <c r="P294" s="223"/>
      <c r="Q294" s="223"/>
      <c r="R294" s="223"/>
      <c r="S294" s="223"/>
      <c r="T294" s="223"/>
      <c r="U294" s="223"/>
      <c r="V294" s="224"/>
      <c r="W294" s="71"/>
      <c r="X294" s="225">
        <f>IF(AA300=0,0,IF(N294=AA300,3,1))+IF(AA302=0,0,IF(N294=AA302,3,1))+IF(AA303=0,0,IF(N294=AA303,3,1))</f>
        <v>5</v>
      </c>
      <c r="Y294" s="226"/>
      <c r="Z294" s="227"/>
      <c r="AA294" s="83" t="s">
        <v>273</v>
      </c>
    </row>
    <row r="295" spans="1:27" ht="15.75">
      <c r="A295" s="209">
        <v>67</v>
      </c>
      <c r="B295" s="210"/>
      <c r="C295" s="211"/>
      <c r="D295" s="203"/>
      <c r="E295" s="203"/>
      <c r="F295" s="203"/>
      <c r="G295" s="203"/>
      <c r="H295" s="203"/>
      <c r="I295" s="203"/>
      <c r="J295" s="71"/>
      <c r="K295" s="231">
        <v>3</v>
      </c>
      <c r="L295" s="232"/>
      <c r="M295" s="232"/>
      <c r="N295" s="223" t="str">
        <f>VLOOKUP(A295,'[4]Inscripcions'!$A$7:$B$209,2)</f>
        <v>Gerard Buenache</v>
      </c>
      <c r="O295" s="223"/>
      <c r="P295" s="223"/>
      <c r="Q295" s="223"/>
      <c r="R295" s="223"/>
      <c r="S295" s="223"/>
      <c r="T295" s="223"/>
      <c r="U295" s="223"/>
      <c r="V295" s="224"/>
      <c r="W295" s="71"/>
      <c r="X295" s="225">
        <f>IF(AA300=0,0,IF(N295=AA300,3,1))+IF(AA301=0,0,IF(N295=AA301,3,1))+IF(AA304=0,0,IF(N295=AA304,3,1))</f>
        <v>9</v>
      </c>
      <c r="Y295" s="226"/>
      <c r="Z295" s="227"/>
      <c r="AA295" s="83" t="str">
        <f>IF(X295&gt;8,"1r",IF(X295&gt;6,"2n",IF(X295&gt;3,"3r",IF(X295&gt;2,"4t",))))</f>
        <v>1r</v>
      </c>
    </row>
    <row r="296" spans="1:27" ht="15.75">
      <c r="A296" s="233">
        <v>68</v>
      </c>
      <c r="B296" s="234"/>
      <c r="C296" s="235"/>
      <c r="D296" s="203"/>
      <c r="E296" s="203"/>
      <c r="F296" s="203"/>
      <c r="G296" s="203"/>
      <c r="H296" s="203"/>
      <c r="I296" s="203"/>
      <c r="J296" s="71"/>
      <c r="K296" s="231">
        <v>4</v>
      </c>
      <c r="L296" s="232"/>
      <c r="M296" s="232"/>
      <c r="N296" s="223" t="str">
        <f>VLOOKUP(A296,'[4]Inscripcions'!$A$7:$B$209,2)</f>
        <v>Andrés Rollan</v>
      </c>
      <c r="O296" s="223"/>
      <c r="P296" s="223"/>
      <c r="Q296" s="223"/>
      <c r="R296" s="223"/>
      <c r="S296" s="223"/>
      <c r="T296" s="223"/>
      <c r="U296" s="223"/>
      <c r="V296" s="224"/>
      <c r="W296" s="71"/>
      <c r="X296" s="225">
        <f>IF(AA299=0,0,IF(N296=AA299,3,1))+IF(AA302=0,0,IF(N296=AA302,3,1))+IF(AA304=0,0,IF(N296=AA304,3,1))</f>
        <v>5</v>
      </c>
      <c r="Y296" s="226"/>
      <c r="Z296" s="227"/>
      <c r="AA296" s="83" t="str">
        <f>IF(X296&gt;8,"1r",IF(X296&gt;6,"2n",IF(X296&gt;3,"3r",IF(X296&gt;2,"4t",))))</f>
        <v>3r</v>
      </c>
    </row>
    <row r="297" spans="1:27" ht="6.75" customHeight="1" thickBot="1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</row>
    <row r="298" spans="1:27" ht="13.5" customHeight="1" thickBot="1">
      <c r="A298" s="90" t="s">
        <v>11</v>
      </c>
      <c r="B298" s="90" t="s">
        <v>14</v>
      </c>
      <c r="C298" s="90" t="s">
        <v>4</v>
      </c>
      <c r="D298" s="217" t="s">
        <v>3</v>
      </c>
      <c r="E298" s="218"/>
      <c r="F298" s="219"/>
      <c r="G298" s="91"/>
      <c r="H298" s="220" t="s">
        <v>5</v>
      </c>
      <c r="I298" s="221"/>
      <c r="J298" s="222"/>
      <c r="K298" s="220" t="s">
        <v>7</v>
      </c>
      <c r="L298" s="221"/>
      <c r="M298" s="222"/>
      <c r="N298" s="220" t="s">
        <v>8</v>
      </c>
      <c r="O298" s="221"/>
      <c r="P298" s="222"/>
      <c r="Q298" s="220" t="s">
        <v>9</v>
      </c>
      <c r="R298" s="221"/>
      <c r="S298" s="222"/>
      <c r="T298" s="220" t="s">
        <v>10</v>
      </c>
      <c r="U298" s="221"/>
      <c r="V298" s="222"/>
      <c r="W298" s="91"/>
      <c r="X298" s="220" t="s">
        <v>12</v>
      </c>
      <c r="Y298" s="221"/>
      <c r="Z298" s="222"/>
      <c r="AA298" s="90" t="s">
        <v>13</v>
      </c>
    </row>
    <row r="299" spans="1:27" ht="19.5" customHeight="1" thickBot="1">
      <c r="A299" s="185">
        <v>0.4583333333333333</v>
      </c>
      <c r="B299" s="82" t="s">
        <v>43</v>
      </c>
      <c r="C299" s="88">
        <v>3</v>
      </c>
      <c r="D299" s="92">
        <v>1</v>
      </c>
      <c r="E299" s="93" t="s">
        <v>6</v>
      </c>
      <c r="F299" s="94">
        <v>4</v>
      </c>
      <c r="G299" s="91"/>
      <c r="H299" s="95">
        <v>11</v>
      </c>
      <c r="I299" s="74"/>
      <c r="J299" s="96">
        <v>9</v>
      </c>
      <c r="K299" s="95">
        <v>11</v>
      </c>
      <c r="L299" s="74"/>
      <c r="M299" s="96">
        <v>8</v>
      </c>
      <c r="N299" s="95">
        <v>11</v>
      </c>
      <c r="O299" s="74"/>
      <c r="P299" s="96">
        <v>4</v>
      </c>
      <c r="Q299" s="95"/>
      <c r="R299" s="74"/>
      <c r="S299" s="96"/>
      <c r="T299" s="95"/>
      <c r="U299" s="74"/>
      <c r="V299" s="96"/>
      <c r="W299" s="91"/>
      <c r="X299" s="89">
        <f aca="true" t="shared" si="30" ref="X299:X304">IF(H299&gt;J299,1,0)+IF(K299&gt;M299,1,0)+IF(N299&gt;P299,1,0)+IF(Q299&gt;S299,1,0)+IF(T299&gt;V299,1,0)</f>
        <v>3</v>
      </c>
      <c r="Y299" s="74" t="s">
        <v>6</v>
      </c>
      <c r="Z299" s="97">
        <f aca="true" t="shared" si="31" ref="Z299:Z304">IF(H299&lt;J299,1,0)+IF(K299&lt;M299,1,0)+IF(N299&lt;P299,1,0)+IF(Q299&lt;S299,1,0)+IF(T299&lt;V299,1,0)</f>
        <v>0</v>
      </c>
      <c r="AA299" s="98" t="str">
        <f>IF(X299&gt;Z299,N293,IF(X299&lt;Z299,N296,0))</f>
        <v>Joel Parramon</v>
      </c>
    </row>
    <row r="300" spans="1:27" ht="17.25" customHeight="1" thickBot="1">
      <c r="A300" s="195">
        <v>0.47222222222222227</v>
      </c>
      <c r="B300" s="82" t="s">
        <v>43</v>
      </c>
      <c r="C300" s="99">
        <v>1</v>
      </c>
      <c r="D300" s="100">
        <v>2</v>
      </c>
      <c r="E300" s="101" t="s">
        <v>6</v>
      </c>
      <c r="F300" s="87">
        <v>3</v>
      </c>
      <c r="G300" s="71"/>
      <c r="H300" s="95">
        <v>6</v>
      </c>
      <c r="I300" s="74"/>
      <c r="J300" s="96">
        <v>11</v>
      </c>
      <c r="K300" s="95">
        <v>6</v>
      </c>
      <c r="L300" s="74"/>
      <c r="M300" s="96">
        <v>11</v>
      </c>
      <c r="N300" s="95">
        <v>8</v>
      </c>
      <c r="O300" s="74"/>
      <c r="P300" s="96">
        <v>11</v>
      </c>
      <c r="Q300" s="102"/>
      <c r="R300" s="75"/>
      <c r="S300" s="103"/>
      <c r="T300" s="102"/>
      <c r="U300" s="75"/>
      <c r="V300" s="103"/>
      <c r="W300" s="73"/>
      <c r="X300" s="89">
        <f t="shared" si="30"/>
        <v>0</v>
      </c>
      <c r="Y300" s="75" t="s">
        <v>6</v>
      </c>
      <c r="Z300" s="97">
        <f t="shared" si="31"/>
        <v>3</v>
      </c>
      <c r="AA300" s="104" t="str">
        <f>IF(X300&gt;Z300,N294,IF(X300&lt;Z300,N295,0))</f>
        <v>Gerard Buenache</v>
      </c>
    </row>
    <row r="301" spans="1:27" ht="17.25" customHeight="1" thickBot="1">
      <c r="A301" s="195">
        <v>0.4861111111111111</v>
      </c>
      <c r="B301" s="82" t="s">
        <v>43</v>
      </c>
      <c r="C301" s="88">
        <v>4</v>
      </c>
      <c r="D301" s="92">
        <v>1</v>
      </c>
      <c r="E301" s="93" t="s">
        <v>6</v>
      </c>
      <c r="F301" s="94">
        <v>3</v>
      </c>
      <c r="G301" s="91"/>
      <c r="H301" s="95">
        <v>8</v>
      </c>
      <c r="I301" s="74"/>
      <c r="J301" s="96">
        <v>11</v>
      </c>
      <c r="K301" s="95">
        <v>8</v>
      </c>
      <c r="L301" s="74"/>
      <c r="M301" s="96">
        <v>9</v>
      </c>
      <c r="N301" s="95">
        <v>11</v>
      </c>
      <c r="O301" s="74"/>
      <c r="P301" s="96">
        <v>4</v>
      </c>
      <c r="Q301" s="95">
        <v>10</v>
      </c>
      <c r="R301" s="74"/>
      <c r="S301" s="96">
        <v>12</v>
      </c>
      <c r="T301" s="95"/>
      <c r="U301" s="74"/>
      <c r="V301" s="96"/>
      <c r="W301" s="91"/>
      <c r="X301" s="89">
        <f t="shared" si="30"/>
        <v>1</v>
      </c>
      <c r="Y301" s="74" t="s">
        <v>6</v>
      </c>
      <c r="Z301" s="97">
        <f t="shared" si="31"/>
        <v>3</v>
      </c>
      <c r="AA301" s="98" t="str">
        <f>IF(X301&gt;Z301,N293,IF(X301&lt;Z301,N295,0))</f>
        <v>Gerard Buenache</v>
      </c>
    </row>
    <row r="302" spans="1:27" ht="17.25" customHeight="1" thickBot="1">
      <c r="A302" s="185">
        <v>0.5</v>
      </c>
      <c r="B302" s="82" t="s">
        <v>43</v>
      </c>
      <c r="C302" s="99">
        <v>3</v>
      </c>
      <c r="D302" s="100">
        <v>2</v>
      </c>
      <c r="E302" s="101" t="s">
        <v>6</v>
      </c>
      <c r="F302" s="87">
        <v>4</v>
      </c>
      <c r="G302" s="71"/>
      <c r="H302" s="95">
        <v>6</v>
      </c>
      <c r="I302" s="74"/>
      <c r="J302" s="96">
        <v>11</v>
      </c>
      <c r="K302" s="95">
        <v>8</v>
      </c>
      <c r="L302" s="74"/>
      <c r="M302" s="96">
        <v>11</v>
      </c>
      <c r="N302" s="95">
        <v>8</v>
      </c>
      <c r="O302" s="74"/>
      <c r="P302" s="96">
        <v>11</v>
      </c>
      <c r="Q302" s="102"/>
      <c r="R302" s="75"/>
      <c r="S302" s="103"/>
      <c r="T302" s="102"/>
      <c r="U302" s="75"/>
      <c r="V302" s="103"/>
      <c r="W302" s="73"/>
      <c r="X302" s="89">
        <f t="shared" si="30"/>
        <v>0</v>
      </c>
      <c r="Y302" s="75" t="s">
        <v>6</v>
      </c>
      <c r="Z302" s="97">
        <f t="shared" si="31"/>
        <v>3</v>
      </c>
      <c r="AA302" s="104" t="str">
        <f>IF(X302&gt;Z302,N294,IF(X302&lt;Z302,N296,0))</f>
        <v>Andrés Rollan</v>
      </c>
    </row>
    <row r="303" spans="1:27" ht="18" customHeight="1" thickBot="1">
      <c r="A303" s="195">
        <v>0.513888888888889</v>
      </c>
      <c r="B303" s="82" t="s">
        <v>43</v>
      </c>
      <c r="C303" s="88">
        <v>4</v>
      </c>
      <c r="D303" s="92">
        <v>1</v>
      </c>
      <c r="E303" s="93" t="s">
        <v>6</v>
      </c>
      <c r="F303" s="94">
        <v>2</v>
      </c>
      <c r="G303" s="91"/>
      <c r="H303" s="95">
        <v>11</v>
      </c>
      <c r="I303" s="74"/>
      <c r="J303" s="96">
        <v>8</v>
      </c>
      <c r="K303" s="95">
        <v>5</v>
      </c>
      <c r="L303" s="74"/>
      <c r="M303" s="96">
        <v>11</v>
      </c>
      <c r="N303" s="95">
        <v>9</v>
      </c>
      <c r="O303" s="74"/>
      <c r="P303" s="96">
        <v>11</v>
      </c>
      <c r="Q303" s="95">
        <v>13</v>
      </c>
      <c r="R303" s="74"/>
      <c r="S303" s="96">
        <v>11</v>
      </c>
      <c r="T303" s="95">
        <v>5</v>
      </c>
      <c r="U303" s="74"/>
      <c r="V303" s="96">
        <v>11</v>
      </c>
      <c r="W303" s="91"/>
      <c r="X303" s="89">
        <f t="shared" si="30"/>
        <v>2</v>
      </c>
      <c r="Y303" s="74" t="s">
        <v>6</v>
      </c>
      <c r="Z303" s="97">
        <f t="shared" si="31"/>
        <v>3</v>
      </c>
      <c r="AA303" s="98" t="str">
        <f>IF(X303&gt;Z303,N293,IF(X303&lt;Z303,N294,0))</f>
        <v>Joan Areny</v>
      </c>
    </row>
    <row r="304" spans="1:27" ht="18" customHeight="1" thickBot="1">
      <c r="A304" s="185">
        <v>0.5277777777777778</v>
      </c>
      <c r="B304" s="82" t="s">
        <v>43</v>
      </c>
      <c r="C304" s="99">
        <v>2</v>
      </c>
      <c r="D304" s="100">
        <v>3</v>
      </c>
      <c r="E304" s="101" t="s">
        <v>6</v>
      </c>
      <c r="F304" s="87">
        <v>4</v>
      </c>
      <c r="G304" s="71"/>
      <c r="H304" s="95">
        <v>11</v>
      </c>
      <c r="I304" s="74"/>
      <c r="J304" s="96">
        <v>3</v>
      </c>
      <c r="K304" s="95">
        <v>11</v>
      </c>
      <c r="L304" s="74"/>
      <c r="M304" s="96">
        <v>4</v>
      </c>
      <c r="N304" s="95">
        <v>11</v>
      </c>
      <c r="O304" s="74"/>
      <c r="P304" s="96">
        <v>4</v>
      </c>
      <c r="Q304" s="105"/>
      <c r="R304" s="76"/>
      <c r="S304" s="106"/>
      <c r="T304" s="105"/>
      <c r="U304" s="76"/>
      <c r="V304" s="106"/>
      <c r="W304" s="73"/>
      <c r="X304" s="107">
        <f t="shared" si="30"/>
        <v>3</v>
      </c>
      <c r="Y304" s="76" t="s">
        <v>6</v>
      </c>
      <c r="Z304" s="108">
        <f t="shared" si="31"/>
        <v>0</v>
      </c>
      <c r="AA304" s="109" t="str">
        <f>IF(X304&gt;Z304,N295,IF(X304&lt;Z304,N296,0))</f>
        <v>Gerard Buenache</v>
      </c>
    </row>
    <row r="305" spans="1:27" ht="15.75" thickBo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</row>
    <row r="306" spans="1:27" ht="6.75" customHeight="1" thickBot="1">
      <c r="A306" s="72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</row>
    <row r="307" spans="1:27" ht="16.5" thickBot="1">
      <c r="A307" s="86" t="s">
        <v>36</v>
      </c>
      <c r="B307" s="87">
        <v>18</v>
      </c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</row>
    <row r="308" spans="1:27" ht="6.75" customHeight="1" thickBo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</row>
    <row r="309" spans="1:27" ht="16.5" thickBot="1">
      <c r="A309" s="228" t="s">
        <v>0</v>
      </c>
      <c r="B309" s="229"/>
      <c r="C309" s="230"/>
      <c r="D309" s="203"/>
      <c r="E309" s="203"/>
      <c r="F309" s="71"/>
      <c r="G309" s="71"/>
      <c r="H309" s="71"/>
      <c r="I309" s="71"/>
      <c r="J309" s="71"/>
      <c r="K309" s="228" t="s">
        <v>2</v>
      </c>
      <c r="L309" s="229"/>
      <c r="M309" s="229"/>
      <c r="N309" s="229" t="s">
        <v>1</v>
      </c>
      <c r="O309" s="229"/>
      <c r="P309" s="229"/>
      <c r="Q309" s="229"/>
      <c r="R309" s="229"/>
      <c r="S309" s="229"/>
      <c r="T309" s="229"/>
      <c r="U309" s="229"/>
      <c r="V309" s="230"/>
      <c r="W309" s="71"/>
      <c r="X309" s="214" t="s">
        <v>35</v>
      </c>
      <c r="Y309" s="215"/>
      <c r="Z309" s="216"/>
      <c r="AA309" s="88" t="s">
        <v>38</v>
      </c>
    </row>
    <row r="310" spans="1:27" ht="15.75">
      <c r="A310" s="209">
        <v>69</v>
      </c>
      <c r="B310" s="210"/>
      <c r="C310" s="211"/>
      <c r="D310" s="203"/>
      <c r="E310" s="203"/>
      <c r="F310" s="203"/>
      <c r="G310" s="203"/>
      <c r="H310" s="203"/>
      <c r="I310" s="203"/>
      <c r="J310" s="71"/>
      <c r="K310" s="212">
        <v>1</v>
      </c>
      <c r="L310" s="213"/>
      <c r="M310" s="213"/>
      <c r="N310" s="223" t="str">
        <f>VLOOKUP(A310,'[4]Inscripcions'!$A$7:$B$209,2)</f>
        <v>Vinyet Solans</v>
      </c>
      <c r="O310" s="223"/>
      <c r="P310" s="223"/>
      <c r="Q310" s="223"/>
      <c r="R310" s="223"/>
      <c r="S310" s="223"/>
      <c r="T310" s="223"/>
      <c r="U310" s="223"/>
      <c r="V310" s="224"/>
      <c r="W310" s="71"/>
      <c r="X310" s="225">
        <f>IF(AA316=0,0,IF(N310=AA316,3,1))+IF(AA318=0,0,IF(N310=AA318,3,1))+IF(AA320=0,0,IF(N310=AA320,3,1))</f>
        <v>5</v>
      </c>
      <c r="Y310" s="226"/>
      <c r="Z310" s="227"/>
      <c r="AA310" s="84" t="str">
        <f>IF(X310&gt;8,"1r",IF(X310&gt;6,"2n",IF(X310&gt;3,"3r",IF(X310&gt;2,"4t",))))</f>
        <v>3r</v>
      </c>
    </row>
    <row r="311" spans="1:27" ht="15.75">
      <c r="A311" s="233">
        <v>70</v>
      </c>
      <c r="B311" s="234"/>
      <c r="C311" s="235"/>
      <c r="D311" s="203"/>
      <c r="E311" s="203"/>
      <c r="F311" s="203"/>
      <c r="G311" s="203"/>
      <c r="H311" s="203"/>
      <c r="I311" s="203"/>
      <c r="J311" s="71"/>
      <c r="K311" s="231">
        <v>2</v>
      </c>
      <c r="L311" s="232"/>
      <c r="M311" s="232"/>
      <c r="N311" s="223" t="str">
        <f>VLOOKUP(A311,'[4]Inscripcions'!$A$7:$B$209,2)</f>
        <v>Josep Monforte</v>
      </c>
      <c r="O311" s="223"/>
      <c r="P311" s="223"/>
      <c r="Q311" s="223"/>
      <c r="R311" s="223"/>
      <c r="S311" s="223"/>
      <c r="T311" s="223"/>
      <c r="U311" s="223"/>
      <c r="V311" s="224"/>
      <c r="W311" s="71"/>
      <c r="X311" s="225">
        <f>IF(AA317=0,0,IF(N311=AA317,3,1))+IF(AA319=0,0,IF(N311=AA319,3,1))+IF(AA320=0,0,IF(N311=AA320,3,1))</f>
        <v>9</v>
      </c>
      <c r="Y311" s="226"/>
      <c r="Z311" s="227"/>
      <c r="AA311" s="83" t="str">
        <f>IF(X311&gt;8,"1r",IF(X311&gt;6,"2n",IF(X311&gt;3,"3r",IF(X311&gt;2,"4t",))))</f>
        <v>1r</v>
      </c>
    </row>
    <row r="312" spans="1:27" ht="15.75">
      <c r="A312" s="209">
        <v>71</v>
      </c>
      <c r="B312" s="210"/>
      <c r="C312" s="211"/>
      <c r="D312" s="203"/>
      <c r="E312" s="203"/>
      <c r="F312" s="203"/>
      <c r="G312" s="203"/>
      <c r="H312" s="203"/>
      <c r="I312" s="203"/>
      <c r="J312" s="71"/>
      <c r="K312" s="231">
        <v>3</v>
      </c>
      <c r="L312" s="232"/>
      <c r="M312" s="232"/>
      <c r="N312" s="223" t="str">
        <f>VLOOKUP(A312,'[4]Inscripcions'!$A$7:$B$209,2)</f>
        <v>Pau Palau</v>
      </c>
      <c r="O312" s="223"/>
      <c r="P312" s="223"/>
      <c r="Q312" s="223"/>
      <c r="R312" s="223"/>
      <c r="S312" s="223"/>
      <c r="T312" s="223"/>
      <c r="U312" s="223"/>
      <c r="V312" s="224"/>
      <c r="W312" s="71"/>
      <c r="X312" s="225">
        <f>IF(AA317=0,0,IF(N312=AA317,3,1))+IF(AA318=0,0,IF(N312=AA318,3,1))+IF(AA321=0,0,IF(N312=AA321,3,1))</f>
        <v>7</v>
      </c>
      <c r="Y312" s="226"/>
      <c r="Z312" s="227"/>
      <c r="AA312" s="83" t="str">
        <f>IF(X312&gt;8,"1r",IF(X312&gt;6,"2n",IF(X312&gt;3,"3r",IF(X312&gt;2,"4t",))))</f>
        <v>2n</v>
      </c>
    </row>
    <row r="313" spans="1:27" ht="15.75">
      <c r="A313" s="233">
        <v>72</v>
      </c>
      <c r="B313" s="234"/>
      <c r="C313" s="235"/>
      <c r="D313" s="203"/>
      <c r="E313" s="203"/>
      <c r="F313" s="203"/>
      <c r="G313" s="203"/>
      <c r="H313" s="203"/>
      <c r="I313" s="203"/>
      <c r="J313" s="71"/>
      <c r="K313" s="231">
        <v>4</v>
      </c>
      <c r="L313" s="232"/>
      <c r="M313" s="232"/>
      <c r="N313" s="223" t="str">
        <f>VLOOKUP(A313,'[4]Inscripcions'!$A$7:$B$209,2)</f>
        <v>Nil Mestres</v>
      </c>
      <c r="O313" s="223"/>
      <c r="P313" s="223"/>
      <c r="Q313" s="223"/>
      <c r="R313" s="223"/>
      <c r="S313" s="223"/>
      <c r="T313" s="223"/>
      <c r="U313" s="223"/>
      <c r="V313" s="224"/>
      <c r="W313" s="71"/>
      <c r="X313" s="225">
        <f>IF(AA316=0,0,IF(N313=AA316,3,1))+IF(AA319=0,0,IF(N313=AA319,3,1))+IF(AA321=0,0,IF(N313=AA321,3,1))</f>
        <v>3</v>
      </c>
      <c r="Y313" s="226"/>
      <c r="Z313" s="227"/>
      <c r="AA313" s="83" t="str">
        <f>IF(X313&gt;8,"1r",IF(X313&gt;6,"2n",IF(X313&gt;3,"3r",IF(X313&gt;2,"4t",))))</f>
        <v>4t</v>
      </c>
    </row>
    <row r="314" spans="1:27" ht="6.75" customHeight="1" thickBo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</row>
    <row r="315" spans="1:27" ht="13.5" customHeight="1" thickBot="1">
      <c r="A315" s="90" t="s">
        <v>11</v>
      </c>
      <c r="B315" s="90" t="s">
        <v>14</v>
      </c>
      <c r="C315" s="90" t="s">
        <v>4</v>
      </c>
      <c r="D315" s="217" t="s">
        <v>3</v>
      </c>
      <c r="E315" s="218"/>
      <c r="F315" s="219"/>
      <c r="G315" s="91"/>
      <c r="H315" s="220" t="s">
        <v>5</v>
      </c>
      <c r="I315" s="221"/>
      <c r="J315" s="222"/>
      <c r="K315" s="220" t="s">
        <v>7</v>
      </c>
      <c r="L315" s="221"/>
      <c r="M315" s="222"/>
      <c r="N315" s="220" t="s">
        <v>8</v>
      </c>
      <c r="O315" s="221"/>
      <c r="P315" s="222"/>
      <c r="Q315" s="220" t="s">
        <v>9</v>
      </c>
      <c r="R315" s="221"/>
      <c r="S315" s="222"/>
      <c r="T315" s="220" t="s">
        <v>10</v>
      </c>
      <c r="U315" s="221"/>
      <c r="V315" s="222"/>
      <c r="W315" s="91"/>
      <c r="X315" s="220" t="s">
        <v>12</v>
      </c>
      <c r="Y315" s="221"/>
      <c r="Z315" s="222"/>
      <c r="AA315" s="90" t="s">
        <v>13</v>
      </c>
    </row>
    <row r="316" spans="1:27" ht="17.25" customHeight="1" thickBot="1">
      <c r="A316" s="185">
        <v>0.4583333333333333</v>
      </c>
      <c r="B316" s="82" t="s">
        <v>44</v>
      </c>
      <c r="C316" s="88">
        <v>3</v>
      </c>
      <c r="D316" s="92">
        <v>1</v>
      </c>
      <c r="E316" s="93" t="s">
        <v>6</v>
      </c>
      <c r="F316" s="94">
        <v>4</v>
      </c>
      <c r="G316" s="91"/>
      <c r="H316" s="95">
        <v>11</v>
      </c>
      <c r="I316" s="74"/>
      <c r="J316" s="96">
        <v>4</v>
      </c>
      <c r="K316" s="95">
        <v>11</v>
      </c>
      <c r="L316" s="74"/>
      <c r="M316" s="96">
        <v>5</v>
      </c>
      <c r="N316" s="95">
        <v>11</v>
      </c>
      <c r="O316" s="74"/>
      <c r="P316" s="96">
        <v>4</v>
      </c>
      <c r="Q316" s="95"/>
      <c r="R316" s="74"/>
      <c r="S316" s="96"/>
      <c r="T316" s="95"/>
      <c r="U316" s="74"/>
      <c r="V316" s="96"/>
      <c r="W316" s="91"/>
      <c r="X316" s="89">
        <f aca="true" t="shared" si="32" ref="X316:X321">IF(H316&gt;J316,1,0)+IF(K316&gt;M316,1,0)+IF(N316&gt;P316,1,0)+IF(Q316&gt;S316,1,0)+IF(T316&gt;V316,1,0)</f>
        <v>3</v>
      </c>
      <c r="Y316" s="74" t="s">
        <v>6</v>
      </c>
      <c r="Z316" s="97">
        <f aca="true" t="shared" si="33" ref="Z316:Z321">IF(H316&lt;J316,1,0)+IF(K316&lt;M316,1,0)+IF(N316&lt;P316,1,0)+IF(Q316&lt;S316,1,0)+IF(T316&lt;V316,1,0)</f>
        <v>0</v>
      </c>
      <c r="AA316" s="98" t="str">
        <f>IF(X316&gt;Z316,N310,IF(X316&lt;Z316,N313,0))</f>
        <v>Vinyet Solans</v>
      </c>
    </row>
    <row r="317" spans="1:27" ht="16.5" customHeight="1" thickBot="1">
      <c r="A317" s="195">
        <v>0.47222222222222227</v>
      </c>
      <c r="B317" s="82" t="s">
        <v>44</v>
      </c>
      <c r="C317" s="99">
        <v>1</v>
      </c>
      <c r="D317" s="100">
        <v>2</v>
      </c>
      <c r="E317" s="101" t="s">
        <v>6</v>
      </c>
      <c r="F317" s="87">
        <v>3</v>
      </c>
      <c r="G317" s="71"/>
      <c r="H317" s="95">
        <v>11</v>
      </c>
      <c r="I317" s="74"/>
      <c r="J317" s="96">
        <v>5</v>
      </c>
      <c r="K317" s="95">
        <v>11</v>
      </c>
      <c r="L317" s="74"/>
      <c r="M317" s="96">
        <v>5</v>
      </c>
      <c r="N317" s="95">
        <v>11</v>
      </c>
      <c r="O317" s="74"/>
      <c r="P317" s="96">
        <v>4</v>
      </c>
      <c r="Q317" s="102"/>
      <c r="R317" s="75"/>
      <c r="S317" s="103"/>
      <c r="T317" s="102"/>
      <c r="U317" s="75"/>
      <c r="V317" s="103"/>
      <c r="W317" s="73"/>
      <c r="X317" s="89">
        <f t="shared" si="32"/>
        <v>3</v>
      </c>
      <c r="Y317" s="75" t="s">
        <v>6</v>
      </c>
      <c r="Z317" s="97">
        <f t="shared" si="33"/>
        <v>0</v>
      </c>
      <c r="AA317" s="104" t="str">
        <f>IF(X317&gt;Z317,N311,IF(X317&lt;Z317,N312,0))</f>
        <v>Josep Monforte</v>
      </c>
    </row>
    <row r="318" spans="1:27" ht="17.25" customHeight="1" thickBot="1">
      <c r="A318" s="195">
        <v>0.4861111111111111</v>
      </c>
      <c r="B318" s="82" t="s">
        <v>44</v>
      </c>
      <c r="C318" s="88">
        <v>4</v>
      </c>
      <c r="D318" s="92">
        <v>1</v>
      </c>
      <c r="E318" s="93" t="s">
        <v>6</v>
      </c>
      <c r="F318" s="94">
        <v>3</v>
      </c>
      <c r="G318" s="91"/>
      <c r="H318" s="95">
        <v>9</v>
      </c>
      <c r="I318" s="74"/>
      <c r="J318" s="96">
        <v>11</v>
      </c>
      <c r="K318" s="95">
        <v>11</v>
      </c>
      <c r="L318" s="74"/>
      <c r="M318" s="96">
        <v>6</v>
      </c>
      <c r="N318" s="95">
        <v>4</v>
      </c>
      <c r="O318" s="74"/>
      <c r="P318" s="96">
        <v>11</v>
      </c>
      <c r="Q318" s="95">
        <v>13</v>
      </c>
      <c r="R318" s="74"/>
      <c r="S318" s="96">
        <v>11</v>
      </c>
      <c r="T318" s="95">
        <v>7</v>
      </c>
      <c r="U318" s="74"/>
      <c r="V318" s="96">
        <v>11</v>
      </c>
      <c r="W318" s="91"/>
      <c r="X318" s="89">
        <f t="shared" si="32"/>
        <v>2</v>
      </c>
      <c r="Y318" s="74" t="s">
        <v>6</v>
      </c>
      <c r="Z318" s="97">
        <f t="shared" si="33"/>
        <v>3</v>
      </c>
      <c r="AA318" s="98" t="str">
        <f>IF(X318&gt;Z318,N310,IF(X318&lt;Z318,N312,0))</f>
        <v>Pau Palau</v>
      </c>
    </row>
    <row r="319" spans="1:27" ht="16.5" customHeight="1" thickBot="1">
      <c r="A319" s="185">
        <v>0.5</v>
      </c>
      <c r="B319" s="82" t="s">
        <v>44</v>
      </c>
      <c r="C319" s="99">
        <v>3</v>
      </c>
      <c r="D319" s="100">
        <v>2</v>
      </c>
      <c r="E319" s="101" t="s">
        <v>6</v>
      </c>
      <c r="F319" s="87">
        <v>4</v>
      </c>
      <c r="G319" s="71"/>
      <c r="H319" s="95">
        <v>11</v>
      </c>
      <c r="I319" s="74"/>
      <c r="J319" s="96">
        <v>3</v>
      </c>
      <c r="K319" s="95">
        <v>11</v>
      </c>
      <c r="L319" s="74"/>
      <c r="M319" s="96">
        <v>2</v>
      </c>
      <c r="N319" s="95">
        <v>11</v>
      </c>
      <c r="O319" s="74"/>
      <c r="P319" s="96">
        <v>3</v>
      </c>
      <c r="Q319" s="102"/>
      <c r="R319" s="75"/>
      <c r="S319" s="103"/>
      <c r="T319" s="102"/>
      <c r="U319" s="75"/>
      <c r="V319" s="103"/>
      <c r="W319" s="73"/>
      <c r="X319" s="89">
        <f t="shared" si="32"/>
        <v>3</v>
      </c>
      <c r="Y319" s="75" t="s">
        <v>6</v>
      </c>
      <c r="Z319" s="97">
        <f t="shared" si="33"/>
        <v>0</v>
      </c>
      <c r="AA319" s="104" t="str">
        <f>IF(X319&gt;Z319,N311,IF(X319&lt;Z319,N313,0))</f>
        <v>Josep Monforte</v>
      </c>
    </row>
    <row r="320" spans="1:27" ht="18" customHeight="1" thickBot="1">
      <c r="A320" s="195">
        <v>0.513888888888889</v>
      </c>
      <c r="B320" s="82" t="s">
        <v>44</v>
      </c>
      <c r="C320" s="88">
        <v>4</v>
      </c>
      <c r="D320" s="92">
        <v>1</v>
      </c>
      <c r="E320" s="93" t="s">
        <v>6</v>
      </c>
      <c r="F320" s="94">
        <v>2</v>
      </c>
      <c r="G320" s="91"/>
      <c r="H320" s="95">
        <v>7</v>
      </c>
      <c r="I320" s="74"/>
      <c r="J320" s="96">
        <v>11</v>
      </c>
      <c r="K320" s="95">
        <v>6</v>
      </c>
      <c r="L320" s="74"/>
      <c r="M320" s="96">
        <v>11</v>
      </c>
      <c r="N320" s="95">
        <v>2</v>
      </c>
      <c r="O320" s="74"/>
      <c r="P320" s="96">
        <v>11</v>
      </c>
      <c r="Q320" s="95"/>
      <c r="R320" s="74"/>
      <c r="S320" s="96"/>
      <c r="T320" s="95"/>
      <c r="U320" s="74"/>
      <c r="V320" s="96"/>
      <c r="W320" s="91"/>
      <c r="X320" s="89">
        <f t="shared" si="32"/>
        <v>0</v>
      </c>
      <c r="Y320" s="74" t="s">
        <v>6</v>
      </c>
      <c r="Z320" s="97">
        <f t="shared" si="33"/>
        <v>3</v>
      </c>
      <c r="AA320" s="98" t="str">
        <f>IF(X320&gt;Z320,N310,IF(X320&lt;Z320,N311,0))</f>
        <v>Josep Monforte</v>
      </c>
    </row>
    <row r="321" spans="1:27" ht="16.5" customHeight="1" thickBot="1">
      <c r="A321" s="185">
        <v>0.5277777777777778</v>
      </c>
      <c r="B321" s="82" t="s">
        <v>44</v>
      </c>
      <c r="C321" s="99">
        <v>2</v>
      </c>
      <c r="D321" s="100">
        <v>3</v>
      </c>
      <c r="E321" s="101" t="s">
        <v>6</v>
      </c>
      <c r="F321" s="87">
        <v>4</v>
      </c>
      <c r="G321" s="71"/>
      <c r="H321" s="95">
        <v>11</v>
      </c>
      <c r="I321" s="74"/>
      <c r="J321" s="96">
        <v>7</v>
      </c>
      <c r="K321" s="95">
        <v>12</v>
      </c>
      <c r="L321" s="74"/>
      <c r="M321" s="96">
        <v>10</v>
      </c>
      <c r="N321" s="95">
        <v>6</v>
      </c>
      <c r="O321" s="74"/>
      <c r="P321" s="96">
        <v>11</v>
      </c>
      <c r="Q321" s="105">
        <v>11</v>
      </c>
      <c r="R321" s="76"/>
      <c r="S321" s="106">
        <v>6</v>
      </c>
      <c r="T321" s="105"/>
      <c r="U321" s="76"/>
      <c r="V321" s="106"/>
      <c r="W321" s="73"/>
      <c r="X321" s="107">
        <f t="shared" si="32"/>
        <v>3</v>
      </c>
      <c r="Y321" s="76" t="s">
        <v>6</v>
      </c>
      <c r="Z321" s="108">
        <f t="shared" si="33"/>
        <v>1</v>
      </c>
      <c r="AA321" s="109" t="str">
        <f>IF(X321&gt;Z321,N312,IF(X321&lt;Z321,N313,0))</f>
        <v>Pau Palau</v>
      </c>
    </row>
    <row r="322" spans="1:27" ht="15.75" thickBo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</row>
    <row r="323" spans="1:27" ht="6.75" customHeight="1" thickBot="1">
      <c r="A323" s="72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  <c r="AA323" s="72"/>
    </row>
    <row r="324" spans="1:27" ht="16.5" thickBot="1">
      <c r="A324" s="86" t="s">
        <v>36</v>
      </c>
      <c r="B324" s="87">
        <v>19</v>
      </c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</row>
    <row r="325" spans="1:27" ht="6.75" customHeight="1" thickBo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</row>
    <row r="326" spans="1:27" ht="16.5" thickBot="1">
      <c r="A326" s="228" t="s">
        <v>0</v>
      </c>
      <c r="B326" s="229"/>
      <c r="C326" s="230"/>
      <c r="D326" s="203"/>
      <c r="E326" s="203"/>
      <c r="F326" s="71"/>
      <c r="G326" s="71"/>
      <c r="H326" s="71"/>
      <c r="I326" s="71"/>
      <c r="J326" s="71"/>
      <c r="K326" s="228" t="s">
        <v>2</v>
      </c>
      <c r="L326" s="229"/>
      <c r="M326" s="229"/>
      <c r="N326" s="229" t="s">
        <v>1</v>
      </c>
      <c r="O326" s="229"/>
      <c r="P326" s="229"/>
      <c r="Q326" s="229"/>
      <c r="R326" s="229"/>
      <c r="S326" s="229"/>
      <c r="T326" s="229"/>
      <c r="U326" s="229"/>
      <c r="V326" s="230"/>
      <c r="W326" s="71"/>
      <c r="X326" s="214" t="s">
        <v>35</v>
      </c>
      <c r="Y326" s="215"/>
      <c r="Z326" s="216"/>
      <c r="AA326" s="88" t="s">
        <v>38</v>
      </c>
    </row>
    <row r="327" spans="1:27" ht="15.75">
      <c r="A327" s="209">
        <v>73</v>
      </c>
      <c r="B327" s="210"/>
      <c r="C327" s="211"/>
      <c r="D327" s="203"/>
      <c r="E327" s="203"/>
      <c r="F327" s="203"/>
      <c r="G327" s="203"/>
      <c r="H327" s="203"/>
      <c r="I327" s="203"/>
      <c r="J327" s="71"/>
      <c r="K327" s="212">
        <v>1</v>
      </c>
      <c r="L327" s="213"/>
      <c r="M327" s="213"/>
      <c r="N327" s="223" t="str">
        <f>VLOOKUP(A327,'[4]Inscripcions'!$A$7:$B$209,2)</f>
        <v>Josep Perelló</v>
      </c>
      <c r="O327" s="223"/>
      <c r="P327" s="223"/>
      <c r="Q327" s="223"/>
      <c r="R327" s="223"/>
      <c r="S327" s="223"/>
      <c r="T327" s="223"/>
      <c r="U327" s="223"/>
      <c r="V327" s="224"/>
      <c r="W327" s="71"/>
      <c r="X327" s="225">
        <f>IF(AA333=0,0,IF(N327=AA333,3,1))+IF(AA335=0,0,IF(N327=AA335,3,1))+IF(AA337=0,0,IF(N327=AA337,3,1))</f>
        <v>9</v>
      </c>
      <c r="Y327" s="226"/>
      <c r="Z327" s="227"/>
      <c r="AA327" s="84" t="str">
        <f>IF(X327&gt;8,"1r",IF(X327&gt;6,"2n",IF(X327&gt;3,"3r",IF(X327&gt;2,"4t",))))</f>
        <v>1r</v>
      </c>
    </row>
    <row r="328" spans="1:27" ht="15.75">
      <c r="A328" s="209">
        <v>74</v>
      </c>
      <c r="B328" s="210"/>
      <c r="C328" s="211"/>
      <c r="D328" s="203"/>
      <c r="E328" s="203"/>
      <c r="F328" s="203"/>
      <c r="G328" s="203"/>
      <c r="H328" s="203"/>
      <c r="I328" s="203"/>
      <c r="J328" s="71"/>
      <c r="K328" s="231">
        <v>2</v>
      </c>
      <c r="L328" s="232"/>
      <c r="M328" s="232"/>
      <c r="N328" s="223" t="str">
        <f>VLOOKUP(A328,'[4]Inscripcions'!$A$7:$B$209,2)</f>
        <v>Ricardo Boncompte</v>
      </c>
      <c r="O328" s="223"/>
      <c r="P328" s="223"/>
      <c r="Q328" s="223"/>
      <c r="R328" s="223"/>
      <c r="S328" s="223"/>
      <c r="T328" s="223"/>
      <c r="U328" s="223"/>
      <c r="V328" s="224"/>
      <c r="W328" s="71"/>
      <c r="X328" s="225">
        <f>IF(AA334=0,0,IF(N328=AA334,3,1))+IF(AA336=0,0,IF(N328=AA336,3,1))+IF(AA337=0,0,IF(N328=AA337,3,1))</f>
        <v>3</v>
      </c>
      <c r="Y328" s="226"/>
      <c r="Z328" s="227"/>
      <c r="AA328" s="83" t="str">
        <f>IF(X328&gt;8,"1r",IF(X328&gt;6,"2n",IF(X328&gt;3,"3r",IF(X328&gt;2,"4t",))))</f>
        <v>4t</v>
      </c>
    </row>
    <row r="329" spans="1:27" ht="15.75">
      <c r="A329" s="209">
        <v>75</v>
      </c>
      <c r="B329" s="210"/>
      <c r="C329" s="211"/>
      <c r="D329" s="203"/>
      <c r="E329" s="203"/>
      <c r="F329" s="203"/>
      <c r="G329" s="203"/>
      <c r="H329" s="203"/>
      <c r="I329" s="203"/>
      <c r="J329" s="71"/>
      <c r="K329" s="231">
        <v>3</v>
      </c>
      <c r="L329" s="232"/>
      <c r="M329" s="232"/>
      <c r="N329" s="223" t="str">
        <f>VLOOKUP(A329,'[4]Inscripcions'!$A$7:$B$209,2)</f>
        <v>Romeo Peirano</v>
      </c>
      <c r="O329" s="223"/>
      <c r="P329" s="223"/>
      <c r="Q329" s="223"/>
      <c r="R329" s="223"/>
      <c r="S329" s="223"/>
      <c r="T329" s="223"/>
      <c r="U329" s="223"/>
      <c r="V329" s="224"/>
      <c r="W329" s="71"/>
      <c r="X329" s="225">
        <f>IF(AA334=0,0,IF(N329=AA334,3,1))+IF(AA335=0,0,IF(N329=AA335,3,1))+IF(AA338=0,0,IF(N329=AA338,3,1))</f>
        <v>5</v>
      </c>
      <c r="Y329" s="226"/>
      <c r="Z329" s="227"/>
      <c r="AA329" s="83" t="str">
        <f>IF(X329&gt;8,"1r",IF(X329&gt;6,"2n",IF(X329&gt;3,"3r",IF(X329&gt;2,"4t",))))</f>
        <v>3r</v>
      </c>
    </row>
    <row r="330" spans="1:27" ht="15.75">
      <c r="A330" s="209">
        <v>76</v>
      </c>
      <c r="B330" s="210"/>
      <c r="C330" s="211"/>
      <c r="D330" s="203"/>
      <c r="E330" s="203"/>
      <c r="F330" s="203"/>
      <c r="G330" s="203"/>
      <c r="H330" s="203"/>
      <c r="I330" s="203"/>
      <c r="J330" s="71"/>
      <c r="K330" s="231">
        <v>4</v>
      </c>
      <c r="L330" s="232"/>
      <c r="M330" s="232"/>
      <c r="N330" s="223" t="str">
        <f>VLOOKUP(A330,'[4]Inscripcions'!$A$7:$B$209,2)</f>
        <v>Miquel  Salat</v>
      </c>
      <c r="O330" s="223"/>
      <c r="P330" s="223"/>
      <c r="Q330" s="223"/>
      <c r="R330" s="223"/>
      <c r="S330" s="223"/>
      <c r="T330" s="223"/>
      <c r="U330" s="223"/>
      <c r="V330" s="224"/>
      <c r="W330" s="71"/>
      <c r="X330" s="225">
        <f>IF(AA333=0,0,IF(N330=AA333,3,1))+IF(AA336=0,0,IF(N330=AA336,3,1))+IF(AA338=0,0,IF(N330=AA338,3,1))</f>
        <v>7</v>
      </c>
      <c r="Y330" s="226"/>
      <c r="Z330" s="227"/>
      <c r="AA330" s="83" t="str">
        <f>IF(X330&gt;8,"1r",IF(X330&gt;6,"2n",IF(X330&gt;3,"3r",IF(X330&gt;2,"4t",))))</f>
        <v>2n</v>
      </c>
    </row>
    <row r="331" spans="1:27" ht="6.75" customHeight="1" thickBo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  <c r="AA331" s="71"/>
    </row>
    <row r="332" spans="1:27" ht="13.5" customHeight="1" thickBot="1">
      <c r="A332" s="90" t="s">
        <v>11</v>
      </c>
      <c r="B332" s="90" t="s">
        <v>14</v>
      </c>
      <c r="C332" s="90" t="s">
        <v>4</v>
      </c>
      <c r="D332" s="217" t="s">
        <v>3</v>
      </c>
      <c r="E332" s="218"/>
      <c r="F332" s="219"/>
      <c r="G332" s="91"/>
      <c r="H332" s="220" t="s">
        <v>5</v>
      </c>
      <c r="I332" s="221"/>
      <c r="J332" s="222"/>
      <c r="K332" s="220" t="s">
        <v>7</v>
      </c>
      <c r="L332" s="221"/>
      <c r="M332" s="222"/>
      <c r="N332" s="220" t="s">
        <v>8</v>
      </c>
      <c r="O332" s="221"/>
      <c r="P332" s="222"/>
      <c r="Q332" s="220" t="s">
        <v>9</v>
      </c>
      <c r="R332" s="221"/>
      <c r="S332" s="222"/>
      <c r="T332" s="220" t="s">
        <v>10</v>
      </c>
      <c r="U332" s="221"/>
      <c r="V332" s="222"/>
      <c r="W332" s="91"/>
      <c r="X332" s="220" t="s">
        <v>12</v>
      </c>
      <c r="Y332" s="221"/>
      <c r="Z332" s="222"/>
      <c r="AA332" s="90" t="s">
        <v>13</v>
      </c>
    </row>
    <row r="333" spans="1:27" ht="18" customHeight="1" thickBot="1">
      <c r="A333" s="185">
        <v>0.4583333333333333</v>
      </c>
      <c r="B333" s="82" t="s">
        <v>45</v>
      </c>
      <c r="C333" s="88">
        <v>3</v>
      </c>
      <c r="D333" s="92">
        <v>1</v>
      </c>
      <c r="E333" s="93" t="s">
        <v>6</v>
      </c>
      <c r="F333" s="94">
        <v>4</v>
      </c>
      <c r="G333" s="91"/>
      <c r="H333" s="95">
        <v>11</v>
      </c>
      <c r="I333" s="74"/>
      <c r="J333" s="96">
        <v>8</v>
      </c>
      <c r="K333" s="95">
        <v>11</v>
      </c>
      <c r="L333" s="74"/>
      <c r="M333" s="96">
        <v>5</v>
      </c>
      <c r="N333" s="95">
        <v>6</v>
      </c>
      <c r="O333" s="74"/>
      <c r="P333" s="96">
        <v>11</v>
      </c>
      <c r="Q333" s="95">
        <v>11</v>
      </c>
      <c r="R333" s="74"/>
      <c r="S333" s="96">
        <v>9</v>
      </c>
      <c r="T333" s="95"/>
      <c r="U333" s="74"/>
      <c r="V333" s="96"/>
      <c r="W333" s="91"/>
      <c r="X333" s="89">
        <f aca="true" t="shared" si="34" ref="X333:X338">IF(H333&gt;J333,1,0)+IF(K333&gt;M333,1,0)+IF(N333&gt;P333,1,0)+IF(Q333&gt;S333,1,0)+IF(T333&gt;V333,1,0)</f>
        <v>3</v>
      </c>
      <c r="Y333" s="74" t="s">
        <v>6</v>
      </c>
      <c r="Z333" s="97">
        <f aca="true" t="shared" si="35" ref="Z333:Z338">IF(H333&lt;J333,1,0)+IF(K333&lt;M333,1,0)+IF(N333&lt;P333,1,0)+IF(Q333&lt;S333,1,0)+IF(T333&lt;V333,1,0)</f>
        <v>1</v>
      </c>
      <c r="AA333" s="98" t="str">
        <f>IF(X333&gt;Z333,N327,IF(X333&lt;Z333,N330,0))</f>
        <v>Josep Perelló</v>
      </c>
    </row>
    <row r="334" spans="1:27" ht="17.25" customHeight="1" thickBot="1">
      <c r="A334" s="195">
        <v>0.47222222222222227</v>
      </c>
      <c r="B334" s="82" t="s">
        <v>45</v>
      </c>
      <c r="C334" s="99">
        <v>1</v>
      </c>
      <c r="D334" s="100">
        <v>2</v>
      </c>
      <c r="E334" s="101" t="s">
        <v>6</v>
      </c>
      <c r="F334" s="87">
        <v>3</v>
      </c>
      <c r="G334" s="71"/>
      <c r="H334" s="95">
        <v>6</v>
      </c>
      <c r="I334" s="74"/>
      <c r="J334" s="96">
        <v>11</v>
      </c>
      <c r="K334" s="95">
        <v>13</v>
      </c>
      <c r="L334" s="74"/>
      <c r="M334" s="96">
        <v>15</v>
      </c>
      <c r="N334" s="95">
        <v>11</v>
      </c>
      <c r="O334" s="74"/>
      <c r="P334" s="96">
        <v>8</v>
      </c>
      <c r="Q334" s="102">
        <v>11</v>
      </c>
      <c r="R334" s="75"/>
      <c r="S334" s="103">
        <v>9</v>
      </c>
      <c r="T334" s="102">
        <v>7</v>
      </c>
      <c r="U334" s="75"/>
      <c r="V334" s="103">
        <v>11</v>
      </c>
      <c r="W334" s="73"/>
      <c r="X334" s="89">
        <f t="shared" si="34"/>
        <v>2</v>
      </c>
      <c r="Y334" s="75" t="s">
        <v>6</v>
      </c>
      <c r="Z334" s="97">
        <f t="shared" si="35"/>
        <v>3</v>
      </c>
      <c r="AA334" s="104" t="str">
        <f>IF(X334&gt;Z334,N328,IF(X334&lt;Z334,N329,0))</f>
        <v>Romeo Peirano</v>
      </c>
    </row>
    <row r="335" spans="1:27" ht="17.25" customHeight="1" thickBot="1">
      <c r="A335" s="195">
        <v>0.4861111111111111</v>
      </c>
      <c r="B335" s="82" t="s">
        <v>45</v>
      </c>
      <c r="C335" s="88">
        <v>4</v>
      </c>
      <c r="D335" s="92">
        <v>1</v>
      </c>
      <c r="E335" s="93" t="s">
        <v>6</v>
      </c>
      <c r="F335" s="94">
        <v>3</v>
      </c>
      <c r="G335" s="91"/>
      <c r="H335" s="95">
        <v>8</v>
      </c>
      <c r="I335" s="74"/>
      <c r="J335" s="96">
        <v>11</v>
      </c>
      <c r="K335" s="95">
        <v>11</v>
      </c>
      <c r="L335" s="74"/>
      <c r="M335" s="96">
        <v>8</v>
      </c>
      <c r="N335" s="95">
        <v>11</v>
      </c>
      <c r="O335" s="74"/>
      <c r="P335" s="96">
        <v>13</v>
      </c>
      <c r="Q335" s="95">
        <v>11</v>
      </c>
      <c r="R335" s="74"/>
      <c r="S335" s="96">
        <v>9</v>
      </c>
      <c r="T335" s="95">
        <v>11</v>
      </c>
      <c r="U335" s="74"/>
      <c r="V335" s="96">
        <v>6</v>
      </c>
      <c r="W335" s="91"/>
      <c r="X335" s="89">
        <f t="shared" si="34"/>
        <v>3</v>
      </c>
      <c r="Y335" s="74" t="s">
        <v>6</v>
      </c>
      <c r="Z335" s="97">
        <f t="shared" si="35"/>
        <v>2</v>
      </c>
      <c r="AA335" s="98" t="str">
        <f>IF(X335&gt;Z335,N327,IF(X335&lt;Z335,N329,0))</f>
        <v>Josep Perelló</v>
      </c>
    </row>
    <row r="336" spans="1:27" ht="18" customHeight="1" thickBot="1">
      <c r="A336" s="185">
        <v>0.5</v>
      </c>
      <c r="B336" s="82" t="s">
        <v>45</v>
      </c>
      <c r="C336" s="99">
        <v>3</v>
      </c>
      <c r="D336" s="100">
        <v>2</v>
      </c>
      <c r="E336" s="101" t="s">
        <v>6</v>
      </c>
      <c r="F336" s="87">
        <v>4</v>
      </c>
      <c r="G336" s="71"/>
      <c r="H336" s="95">
        <v>2</v>
      </c>
      <c r="I336" s="74"/>
      <c r="J336" s="96">
        <v>11</v>
      </c>
      <c r="K336" s="95">
        <v>5</v>
      </c>
      <c r="L336" s="74"/>
      <c r="M336" s="96">
        <v>11</v>
      </c>
      <c r="N336" s="95">
        <v>5</v>
      </c>
      <c r="O336" s="74"/>
      <c r="P336" s="96">
        <v>11</v>
      </c>
      <c r="Q336" s="102"/>
      <c r="R336" s="75"/>
      <c r="S336" s="103"/>
      <c r="T336" s="102"/>
      <c r="U336" s="75"/>
      <c r="V336" s="103"/>
      <c r="W336" s="73"/>
      <c r="X336" s="89">
        <f t="shared" si="34"/>
        <v>0</v>
      </c>
      <c r="Y336" s="75" t="s">
        <v>6</v>
      </c>
      <c r="Z336" s="97">
        <f t="shared" si="35"/>
        <v>3</v>
      </c>
      <c r="AA336" s="104" t="str">
        <f>IF(X336&gt;Z336,N328,IF(X336&lt;Z336,N330,0))</f>
        <v>Miquel  Salat</v>
      </c>
    </row>
    <row r="337" spans="1:27" ht="19.5" customHeight="1" thickBot="1">
      <c r="A337" s="195">
        <v>0.513888888888889</v>
      </c>
      <c r="B337" s="82" t="s">
        <v>45</v>
      </c>
      <c r="C337" s="88">
        <v>4</v>
      </c>
      <c r="D337" s="92">
        <v>1</v>
      </c>
      <c r="E337" s="93" t="s">
        <v>6</v>
      </c>
      <c r="F337" s="94">
        <v>2</v>
      </c>
      <c r="G337" s="91"/>
      <c r="H337" s="95">
        <v>11</v>
      </c>
      <c r="I337" s="74"/>
      <c r="J337" s="96">
        <v>2</v>
      </c>
      <c r="K337" s="95">
        <v>11</v>
      </c>
      <c r="L337" s="74"/>
      <c r="M337" s="96">
        <v>6</v>
      </c>
      <c r="N337" s="95">
        <v>11</v>
      </c>
      <c r="O337" s="74"/>
      <c r="P337" s="96">
        <v>3</v>
      </c>
      <c r="Q337" s="95"/>
      <c r="R337" s="74"/>
      <c r="S337" s="96"/>
      <c r="T337" s="95"/>
      <c r="U337" s="74"/>
      <c r="V337" s="96"/>
      <c r="W337" s="91"/>
      <c r="X337" s="89">
        <f t="shared" si="34"/>
        <v>3</v>
      </c>
      <c r="Y337" s="74" t="s">
        <v>6</v>
      </c>
      <c r="Z337" s="97">
        <f t="shared" si="35"/>
        <v>0</v>
      </c>
      <c r="AA337" s="98" t="str">
        <f>IF(X337&gt;Z337,N327,IF(X337&lt;Z337,N328,0))</f>
        <v>Josep Perelló</v>
      </c>
    </row>
    <row r="338" spans="1:27" ht="17.25" customHeight="1" thickBot="1">
      <c r="A338" s="185">
        <v>0.5277777777777778</v>
      </c>
      <c r="B338" s="82" t="s">
        <v>45</v>
      </c>
      <c r="C338" s="99">
        <v>2</v>
      </c>
      <c r="D338" s="100">
        <v>3</v>
      </c>
      <c r="E338" s="101" t="s">
        <v>6</v>
      </c>
      <c r="F338" s="87">
        <v>4</v>
      </c>
      <c r="G338" s="71"/>
      <c r="H338" s="95">
        <v>7</v>
      </c>
      <c r="I338" s="74"/>
      <c r="J338" s="96">
        <v>11</v>
      </c>
      <c r="K338" s="95">
        <v>6</v>
      </c>
      <c r="L338" s="74"/>
      <c r="M338" s="96">
        <v>11</v>
      </c>
      <c r="N338" s="95">
        <v>8</v>
      </c>
      <c r="O338" s="74"/>
      <c r="P338" s="96">
        <v>11</v>
      </c>
      <c r="Q338" s="105"/>
      <c r="R338" s="76"/>
      <c r="S338" s="106"/>
      <c r="T338" s="105"/>
      <c r="U338" s="76"/>
      <c r="V338" s="106"/>
      <c r="W338" s="73" t="s">
        <v>61</v>
      </c>
      <c r="X338" s="107">
        <f t="shared" si="34"/>
        <v>0</v>
      </c>
      <c r="Y338" s="76" t="s">
        <v>6</v>
      </c>
      <c r="Z338" s="108">
        <f t="shared" si="35"/>
        <v>3</v>
      </c>
      <c r="AA338" s="109" t="str">
        <f>IF(X338&gt;Z338,N329,IF(X338&lt;Z338,N330,0))</f>
        <v>Miquel  Salat</v>
      </c>
    </row>
    <row r="339" spans="1:27" ht="15.75" thickBo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  <c r="AA339" s="71"/>
    </row>
    <row r="340" spans="1:27" ht="6.75" customHeight="1" thickBot="1">
      <c r="A340" s="72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  <c r="AA340" s="72"/>
    </row>
    <row r="341" spans="1:27" ht="16.5" thickBot="1">
      <c r="A341" s="86" t="s">
        <v>36</v>
      </c>
      <c r="B341" s="87">
        <v>20</v>
      </c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</row>
    <row r="342" spans="1:27" ht="6.75" customHeight="1" thickBo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  <c r="AA342" s="71"/>
    </row>
    <row r="343" spans="1:27" ht="16.5" thickBot="1">
      <c r="A343" s="228" t="s">
        <v>0</v>
      </c>
      <c r="B343" s="229"/>
      <c r="C343" s="230"/>
      <c r="D343" s="203"/>
      <c r="E343" s="203"/>
      <c r="F343" s="71"/>
      <c r="G343" s="71"/>
      <c r="H343" s="71"/>
      <c r="I343" s="71"/>
      <c r="J343" s="71"/>
      <c r="K343" s="228" t="s">
        <v>2</v>
      </c>
      <c r="L343" s="229"/>
      <c r="M343" s="229"/>
      <c r="N343" s="229" t="s">
        <v>1</v>
      </c>
      <c r="O343" s="229"/>
      <c r="P343" s="229"/>
      <c r="Q343" s="229"/>
      <c r="R343" s="229"/>
      <c r="S343" s="229"/>
      <c r="T343" s="229"/>
      <c r="U343" s="229"/>
      <c r="V343" s="230"/>
      <c r="W343" s="71"/>
      <c r="X343" s="214" t="s">
        <v>35</v>
      </c>
      <c r="Y343" s="215"/>
      <c r="Z343" s="216"/>
      <c r="AA343" s="88" t="s">
        <v>38</v>
      </c>
    </row>
    <row r="344" spans="1:27" ht="15.75">
      <c r="A344" s="209">
        <v>77</v>
      </c>
      <c r="B344" s="210"/>
      <c r="C344" s="211"/>
      <c r="D344" s="203"/>
      <c r="E344" s="203"/>
      <c r="F344" s="203"/>
      <c r="G344" s="203"/>
      <c r="H344" s="203"/>
      <c r="I344" s="203"/>
      <c r="J344" s="71"/>
      <c r="K344" s="212">
        <v>1</v>
      </c>
      <c r="L344" s="213"/>
      <c r="M344" s="213"/>
      <c r="N344" s="223" t="str">
        <f>VLOOKUP(A344,'[4]Inscripcions'!$A$7:$B$209,2)</f>
        <v>Ricard Boncompte</v>
      </c>
      <c r="O344" s="223"/>
      <c r="P344" s="223"/>
      <c r="Q344" s="223"/>
      <c r="R344" s="223"/>
      <c r="S344" s="223"/>
      <c r="T344" s="223"/>
      <c r="U344" s="223"/>
      <c r="V344" s="224"/>
      <c r="W344" s="71"/>
      <c r="X344" s="225">
        <f>IF(AA350=0,0,IF(N344=AA350,3,1))+IF(AA352=0,0,IF(N344=AA352,3,1))+IF(AA354=0,0,IF(N344=AA354,3,1))</f>
        <v>7</v>
      </c>
      <c r="Y344" s="226"/>
      <c r="Z344" s="227"/>
      <c r="AA344" s="84" t="str">
        <f>IF(X344&gt;8,"1r",IF(X344&gt;6,"2n",IF(X344&gt;3,"3r",IF(X344&gt;2,"4t",))))</f>
        <v>2n</v>
      </c>
    </row>
    <row r="345" spans="1:27" ht="15.75">
      <c r="A345" s="209">
        <v>78</v>
      </c>
      <c r="B345" s="210"/>
      <c r="C345" s="211"/>
      <c r="D345" s="203"/>
      <c r="E345" s="203"/>
      <c r="F345" s="203"/>
      <c r="G345" s="203"/>
      <c r="H345" s="203"/>
      <c r="I345" s="203"/>
      <c r="J345" s="71"/>
      <c r="K345" s="231">
        <v>2</v>
      </c>
      <c r="L345" s="232"/>
      <c r="M345" s="232"/>
      <c r="N345" s="223" t="str">
        <f>VLOOKUP(A345,'[4]Inscripcions'!$A$7:$B$209,2)</f>
        <v>Ester Bravo</v>
      </c>
      <c r="O345" s="223"/>
      <c r="P345" s="223"/>
      <c r="Q345" s="223"/>
      <c r="R345" s="223"/>
      <c r="S345" s="223"/>
      <c r="T345" s="223"/>
      <c r="U345" s="223"/>
      <c r="V345" s="224"/>
      <c r="W345" s="71"/>
      <c r="X345" s="225">
        <f>IF(AA351=0,0,IF(N345=AA351,3,1))+IF(AA353=0,0,IF(N345=AA353,3,1))+IF(AA354=0,0,IF(N345=AA354,3,1))</f>
        <v>5</v>
      </c>
      <c r="Y345" s="226"/>
      <c r="Z345" s="227"/>
      <c r="AA345" s="83" t="str">
        <f>IF(X345&gt;8,"1r",IF(X345&gt;6,"2n",IF(X345&gt;3,"3r",IF(X345&gt;2,"4t",))))</f>
        <v>3r</v>
      </c>
    </row>
    <row r="346" spans="1:27" ht="15.75">
      <c r="A346" s="209">
        <v>79</v>
      </c>
      <c r="B346" s="210"/>
      <c r="C346" s="211"/>
      <c r="D346" s="203"/>
      <c r="E346" s="203"/>
      <c r="F346" s="203"/>
      <c r="G346" s="203"/>
      <c r="H346" s="203"/>
      <c r="I346" s="203"/>
      <c r="J346" s="71"/>
      <c r="K346" s="231">
        <v>3</v>
      </c>
      <c r="L346" s="232"/>
      <c r="M346" s="232"/>
      <c r="N346" s="223" t="str">
        <f>VLOOKUP(A346,'[4]Inscripcions'!$A$7:$B$209,2)</f>
        <v>Salvador Berenguer</v>
      </c>
      <c r="O346" s="223"/>
      <c r="P346" s="223"/>
      <c r="Q346" s="223"/>
      <c r="R346" s="223"/>
      <c r="S346" s="223"/>
      <c r="T346" s="223"/>
      <c r="U346" s="223"/>
      <c r="V346" s="224"/>
      <c r="W346" s="71"/>
      <c r="X346" s="225">
        <f>IF(AA351=0,0,IF(N346=AA351,3,1))+IF(AA352=0,0,IF(N346=AA352,3,1))+IF(AA355=0,0,IF(N346=AA355,3,1))</f>
        <v>9</v>
      </c>
      <c r="Y346" s="226"/>
      <c r="Z346" s="227"/>
      <c r="AA346" s="83" t="str">
        <f>IF(X346&gt;8,"1r",IF(X346&gt;6,"2n",IF(X346&gt;3,"3r",IF(X346&gt;2,"4t",))))</f>
        <v>1r</v>
      </c>
    </row>
    <row r="347" spans="1:27" ht="15.75">
      <c r="A347" s="209">
        <v>80</v>
      </c>
      <c r="B347" s="210"/>
      <c r="C347" s="211"/>
      <c r="D347" s="203"/>
      <c r="E347" s="203"/>
      <c r="F347" s="203"/>
      <c r="G347" s="203"/>
      <c r="H347" s="203"/>
      <c r="I347" s="203"/>
      <c r="J347" s="71"/>
      <c r="K347" s="231">
        <v>4</v>
      </c>
      <c r="L347" s="232"/>
      <c r="M347" s="232"/>
      <c r="N347" s="223" t="str">
        <f>VLOOKUP(A347,'[4]Inscripcions'!$A$7:$B$209,2)</f>
        <v>José Antonio Moreno</v>
      </c>
      <c r="O347" s="223"/>
      <c r="P347" s="223"/>
      <c r="Q347" s="223"/>
      <c r="R347" s="223"/>
      <c r="S347" s="223"/>
      <c r="T347" s="223"/>
      <c r="U347" s="223"/>
      <c r="V347" s="224"/>
      <c r="W347" s="71"/>
      <c r="X347" s="225">
        <f>IF(AA350=0,0,IF(N347=AA350,3,1))+IF(AA353=0,0,IF(N347=AA353,3,1))+IF(AA355=0,0,IF(N347=AA355,3,1))</f>
        <v>3</v>
      </c>
      <c r="Y347" s="226"/>
      <c r="Z347" s="227"/>
      <c r="AA347" s="83" t="str">
        <f>IF(X347&gt;8,"1r",IF(X347&gt;6,"2n",IF(X347&gt;3,"3r",IF(X347&gt;2,"4t",))))</f>
        <v>4t</v>
      </c>
    </row>
    <row r="348" spans="1:27" ht="6.75" customHeight="1" thickBo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  <c r="AA348" s="71"/>
    </row>
    <row r="349" spans="1:27" ht="13.5" customHeight="1" thickBot="1">
      <c r="A349" s="90" t="s">
        <v>11</v>
      </c>
      <c r="B349" s="90" t="s">
        <v>14</v>
      </c>
      <c r="C349" s="90" t="s">
        <v>4</v>
      </c>
      <c r="D349" s="217" t="s">
        <v>3</v>
      </c>
      <c r="E349" s="218"/>
      <c r="F349" s="219"/>
      <c r="G349" s="91"/>
      <c r="H349" s="220" t="s">
        <v>5</v>
      </c>
      <c r="I349" s="221"/>
      <c r="J349" s="222"/>
      <c r="K349" s="220" t="s">
        <v>7</v>
      </c>
      <c r="L349" s="221"/>
      <c r="M349" s="222"/>
      <c r="N349" s="220" t="s">
        <v>8</v>
      </c>
      <c r="O349" s="221"/>
      <c r="P349" s="222"/>
      <c r="Q349" s="220" t="s">
        <v>9</v>
      </c>
      <c r="R349" s="221"/>
      <c r="S349" s="222"/>
      <c r="T349" s="220" t="s">
        <v>10</v>
      </c>
      <c r="U349" s="221"/>
      <c r="V349" s="222"/>
      <c r="W349" s="91"/>
      <c r="X349" s="220" t="s">
        <v>12</v>
      </c>
      <c r="Y349" s="221"/>
      <c r="Z349" s="222"/>
      <c r="AA349" s="90" t="s">
        <v>13</v>
      </c>
    </row>
    <row r="350" spans="1:27" ht="17.25" customHeight="1" thickBot="1">
      <c r="A350" s="185">
        <v>0.4583333333333333</v>
      </c>
      <c r="B350" s="82" t="s">
        <v>46</v>
      </c>
      <c r="C350" s="88">
        <v>3</v>
      </c>
      <c r="D350" s="92">
        <v>1</v>
      </c>
      <c r="E350" s="93" t="s">
        <v>6</v>
      </c>
      <c r="F350" s="94">
        <v>4</v>
      </c>
      <c r="G350" s="91"/>
      <c r="H350" s="95">
        <v>11</v>
      </c>
      <c r="I350" s="74"/>
      <c r="J350" s="96">
        <v>0</v>
      </c>
      <c r="K350" s="95">
        <v>11</v>
      </c>
      <c r="L350" s="74"/>
      <c r="M350" s="96">
        <v>0</v>
      </c>
      <c r="N350" s="95">
        <v>11</v>
      </c>
      <c r="O350" s="74"/>
      <c r="P350" s="96">
        <v>0</v>
      </c>
      <c r="Q350" s="95"/>
      <c r="R350" s="74"/>
      <c r="S350" s="96"/>
      <c r="T350" s="95"/>
      <c r="U350" s="74"/>
      <c r="V350" s="96"/>
      <c r="W350" s="91"/>
      <c r="X350" s="89">
        <f aca="true" t="shared" si="36" ref="X350:X355">IF(H350&gt;J350,1,0)+IF(K350&gt;M350,1,0)+IF(N350&gt;P350,1,0)+IF(Q350&gt;S350,1,0)+IF(T350&gt;V350,1,0)</f>
        <v>3</v>
      </c>
      <c r="Y350" s="74" t="s">
        <v>6</v>
      </c>
      <c r="Z350" s="97">
        <f aca="true" t="shared" si="37" ref="Z350:Z355">IF(H350&lt;J350,1,0)+IF(K350&lt;M350,1,0)+IF(N350&lt;P350,1,0)+IF(Q350&lt;S350,1,0)+IF(T350&lt;V350,1,0)</f>
        <v>0</v>
      </c>
      <c r="AA350" s="98" t="str">
        <f>IF(X350&gt;Z350,N344,IF(X350&lt;Z350,N347,0))</f>
        <v>Ricard Boncompte</v>
      </c>
    </row>
    <row r="351" spans="1:27" ht="17.25" customHeight="1" thickBot="1">
      <c r="A351" s="195">
        <v>0.47222222222222227</v>
      </c>
      <c r="B351" s="82" t="s">
        <v>46</v>
      </c>
      <c r="C351" s="99">
        <v>1</v>
      </c>
      <c r="D351" s="100">
        <v>2</v>
      </c>
      <c r="E351" s="101" t="s">
        <v>6</v>
      </c>
      <c r="F351" s="87">
        <v>3</v>
      </c>
      <c r="G351" s="71"/>
      <c r="H351" s="95">
        <v>5</v>
      </c>
      <c r="I351" s="74"/>
      <c r="J351" s="96">
        <v>11</v>
      </c>
      <c r="K351" s="95">
        <v>4</v>
      </c>
      <c r="L351" s="74"/>
      <c r="M351" s="96">
        <v>11</v>
      </c>
      <c r="N351" s="95">
        <v>11</v>
      </c>
      <c r="O351" s="74"/>
      <c r="P351" s="96">
        <v>6</v>
      </c>
      <c r="Q351" s="102">
        <v>12</v>
      </c>
      <c r="R351" s="75"/>
      <c r="S351" s="103">
        <v>14</v>
      </c>
      <c r="T351" s="102"/>
      <c r="U351" s="75"/>
      <c r="V351" s="103"/>
      <c r="W351" s="73"/>
      <c r="X351" s="89">
        <f t="shared" si="36"/>
        <v>1</v>
      </c>
      <c r="Y351" s="75" t="s">
        <v>6</v>
      </c>
      <c r="Z351" s="97">
        <f t="shared" si="37"/>
        <v>3</v>
      </c>
      <c r="AA351" s="104" t="str">
        <f>IF(X351&gt;Z351,N345,IF(X351&lt;Z351,N346,0))</f>
        <v>Salvador Berenguer</v>
      </c>
    </row>
    <row r="352" spans="1:27" ht="19.5" customHeight="1" thickBot="1">
      <c r="A352" s="195">
        <v>0.4861111111111111</v>
      </c>
      <c r="B352" s="82" t="s">
        <v>46</v>
      </c>
      <c r="C352" s="88">
        <v>4</v>
      </c>
      <c r="D352" s="92">
        <v>1</v>
      </c>
      <c r="E352" s="93" t="s">
        <v>6</v>
      </c>
      <c r="F352" s="94">
        <v>3</v>
      </c>
      <c r="G352" s="91"/>
      <c r="H352" s="95">
        <v>9</v>
      </c>
      <c r="I352" s="74"/>
      <c r="J352" s="96">
        <v>11</v>
      </c>
      <c r="K352" s="95">
        <v>12</v>
      </c>
      <c r="L352" s="74"/>
      <c r="M352" s="96">
        <v>10</v>
      </c>
      <c r="N352" s="95">
        <v>12</v>
      </c>
      <c r="O352" s="74"/>
      <c r="P352" s="96">
        <v>14</v>
      </c>
      <c r="Q352" s="95">
        <v>10</v>
      </c>
      <c r="R352" s="74"/>
      <c r="S352" s="96">
        <v>12</v>
      </c>
      <c r="T352" s="95"/>
      <c r="U352" s="74"/>
      <c r="V352" s="96"/>
      <c r="W352" s="91"/>
      <c r="X352" s="89">
        <f t="shared" si="36"/>
        <v>1</v>
      </c>
      <c r="Y352" s="74" t="s">
        <v>6</v>
      </c>
      <c r="Z352" s="97">
        <f t="shared" si="37"/>
        <v>3</v>
      </c>
      <c r="AA352" s="98" t="str">
        <f>IF(X352&gt;Z352,N344,IF(X352&lt;Z352,N346,0))</f>
        <v>Salvador Berenguer</v>
      </c>
    </row>
    <row r="353" spans="1:27" ht="17.25" customHeight="1" thickBot="1">
      <c r="A353" s="185">
        <v>0.5</v>
      </c>
      <c r="B353" s="82" t="s">
        <v>46</v>
      </c>
      <c r="C353" s="99">
        <v>3</v>
      </c>
      <c r="D353" s="100">
        <v>2</v>
      </c>
      <c r="E353" s="101" t="s">
        <v>6</v>
      </c>
      <c r="F353" s="87">
        <v>4</v>
      </c>
      <c r="G353" s="71"/>
      <c r="H353" s="95">
        <v>11</v>
      </c>
      <c r="I353" s="74"/>
      <c r="J353" s="96">
        <v>0</v>
      </c>
      <c r="K353" s="95">
        <v>11</v>
      </c>
      <c r="L353" s="74"/>
      <c r="M353" s="96">
        <v>0</v>
      </c>
      <c r="N353" s="95">
        <v>11</v>
      </c>
      <c r="O353" s="74"/>
      <c r="P353" s="96">
        <v>0</v>
      </c>
      <c r="Q353" s="95"/>
      <c r="R353" s="74"/>
      <c r="S353" s="96"/>
      <c r="T353" s="102"/>
      <c r="U353" s="75"/>
      <c r="V353" s="103"/>
      <c r="W353" s="73"/>
      <c r="X353" s="89">
        <f t="shared" si="36"/>
        <v>3</v>
      </c>
      <c r="Y353" s="75" t="s">
        <v>6</v>
      </c>
      <c r="Z353" s="97">
        <f t="shared" si="37"/>
        <v>0</v>
      </c>
      <c r="AA353" s="104" t="str">
        <f>IF(X353&gt;Z353,N345,IF(X353&lt;Z353,N347,0))</f>
        <v>Ester Bravo</v>
      </c>
    </row>
    <row r="354" spans="1:27" ht="16.5" customHeight="1" thickBot="1">
      <c r="A354" s="195">
        <v>0.513888888888889</v>
      </c>
      <c r="B354" s="82" t="s">
        <v>46</v>
      </c>
      <c r="C354" s="88">
        <v>4</v>
      </c>
      <c r="D354" s="92">
        <v>1</v>
      </c>
      <c r="E354" s="93" t="s">
        <v>6</v>
      </c>
      <c r="F354" s="94">
        <v>2</v>
      </c>
      <c r="G354" s="91"/>
      <c r="H354" s="95">
        <v>11</v>
      </c>
      <c r="I354" s="74"/>
      <c r="J354" s="96">
        <v>9</v>
      </c>
      <c r="K354" s="95">
        <v>6</v>
      </c>
      <c r="L354" s="74"/>
      <c r="M354" s="96">
        <v>11</v>
      </c>
      <c r="N354" s="95">
        <v>11</v>
      </c>
      <c r="O354" s="74"/>
      <c r="P354" s="96">
        <v>4</v>
      </c>
      <c r="Q354" s="95">
        <v>11</v>
      </c>
      <c r="R354" s="74"/>
      <c r="S354" s="96">
        <v>8</v>
      </c>
      <c r="T354" s="95"/>
      <c r="U354" s="74"/>
      <c r="V354" s="96"/>
      <c r="W354" s="91"/>
      <c r="X354" s="89">
        <f t="shared" si="36"/>
        <v>3</v>
      </c>
      <c r="Y354" s="74" t="s">
        <v>6</v>
      </c>
      <c r="Z354" s="97">
        <f t="shared" si="37"/>
        <v>1</v>
      </c>
      <c r="AA354" s="98" t="str">
        <f>IF(X354&gt;Z354,N344,IF(X354&lt;Z354,N345,0))</f>
        <v>Ricard Boncompte</v>
      </c>
    </row>
    <row r="355" spans="1:27" ht="17.25" customHeight="1" thickBot="1">
      <c r="A355" s="185">
        <v>0.5277777777777778</v>
      </c>
      <c r="B355" s="82" t="s">
        <v>46</v>
      </c>
      <c r="C355" s="99">
        <v>2</v>
      </c>
      <c r="D355" s="100">
        <v>3</v>
      </c>
      <c r="E355" s="101" t="s">
        <v>6</v>
      </c>
      <c r="F355" s="87">
        <v>4</v>
      </c>
      <c r="G355" s="71"/>
      <c r="H355" s="95">
        <v>11</v>
      </c>
      <c r="I355" s="74"/>
      <c r="J355" s="96">
        <v>0</v>
      </c>
      <c r="K355" s="95">
        <v>11</v>
      </c>
      <c r="L355" s="74"/>
      <c r="M355" s="96">
        <v>0</v>
      </c>
      <c r="N355" s="95">
        <v>11</v>
      </c>
      <c r="O355" s="74"/>
      <c r="P355" s="96">
        <v>0</v>
      </c>
      <c r="Q355" s="105"/>
      <c r="R355" s="76"/>
      <c r="S355" s="106"/>
      <c r="T355" s="105"/>
      <c r="U355" s="76"/>
      <c r="V355" s="106"/>
      <c r="W355" s="73"/>
      <c r="X355" s="107">
        <f t="shared" si="36"/>
        <v>3</v>
      </c>
      <c r="Y355" s="76" t="s">
        <v>6</v>
      </c>
      <c r="Z355" s="108">
        <f t="shared" si="37"/>
        <v>0</v>
      </c>
      <c r="AA355" s="109" t="str">
        <f>IF(X355&gt;Z355,N346,IF(X355&lt;Z355,N347,0))</f>
        <v>Salvador Berenguer</v>
      </c>
    </row>
    <row r="356" spans="1:27" ht="15.75" thickBo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  <c r="AA356" s="71"/>
    </row>
    <row r="357" spans="1:27" ht="6.75" customHeight="1" thickBot="1">
      <c r="A357" s="72"/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  <c r="AA357" s="72"/>
    </row>
    <row r="358" spans="1:27" ht="16.5" thickBot="1">
      <c r="A358" s="86" t="s">
        <v>36</v>
      </c>
      <c r="B358" s="87">
        <v>21</v>
      </c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  <c r="AA358" s="71"/>
    </row>
    <row r="359" spans="1:27" ht="6.75" customHeight="1" thickBo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  <c r="AA359" s="71"/>
    </row>
    <row r="360" spans="1:27" ht="16.5" thickBot="1">
      <c r="A360" s="228" t="s">
        <v>0</v>
      </c>
      <c r="B360" s="229"/>
      <c r="C360" s="230"/>
      <c r="D360" s="203"/>
      <c r="E360" s="203"/>
      <c r="F360" s="71"/>
      <c r="G360" s="71"/>
      <c r="H360" s="71"/>
      <c r="I360" s="71"/>
      <c r="J360" s="71"/>
      <c r="K360" s="228" t="s">
        <v>2</v>
      </c>
      <c r="L360" s="229"/>
      <c r="M360" s="229"/>
      <c r="N360" s="229" t="s">
        <v>1</v>
      </c>
      <c r="O360" s="229"/>
      <c r="P360" s="229"/>
      <c r="Q360" s="229"/>
      <c r="R360" s="229"/>
      <c r="S360" s="229"/>
      <c r="T360" s="229"/>
      <c r="U360" s="229"/>
      <c r="V360" s="230"/>
      <c r="W360" s="71"/>
      <c r="X360" s="214" t="s">
        <v>35</v>
      </c>
      <c r="Y360" s="215"/>
      <c r="Z360" s="216"/>
      <c r="AA360" s="88" t="s">
        <v>38</v>
      </c>
    </row>
    <row r="361" spans="1:27" ht="15.75">
      <c r="A361" s="209">
        <v>81</v>
      </c>
      <c r="B361" s="210"/>
      <c r="C361" s="211"/>
      <c r="D361" s="203"/>
      <c r="E361" s="203"/>
      <c r="F361" s="203"/>
      <c r="G361" s="203"/>
      <c r="H361" s="203"/>
      <c r="I361" s="203"/>
      <c r="J361" s="71"/>
      <c r="K361" s="212">
        <v>1</v>
      </c>
      <c r="L361" s="213"/>
      <c r="M361" s="213"/>
      <c r="N361" s="223" t="str">
        <f>VLOOKUP(A361,'[4]Inscripcions'!$A$7:$B$209,2)</f>
        <v>Edgar Martin</v>
      </c>
      <c r="O361" s="223"/>
      <c r="P361" s="223"/>
      <c r="Q361" s="223"/>
      <c r="R361" s="223"/>
      <c r="S361" s="223"/>
      <c r="T361" s="223"/>
      <c r="U361" s="223"/>
      <c r="V361" s="224"/>
      <c r="W361" s="71"/>
      <c r="X361" s="225">
        <f>IF(AA367=0,0,IF(N361=AA367,3,1))+IF(AA369=0,0,IF(N361=AA369,3,1))+IF(AA371=0,0,IF(N361=AA371,3,1))</f>
        <v>2</v>
      </c>
      <c r="Y361" s="226"/>
      <c r="Z361" s="227"/>
      <c r="AA361" s="84" t="s">
        <v>270</v>
      </c>
    </row>
    <row r="362" spans="1:27" ht="15.75">
      <c r="A362" s="209">
        <v>82</v>
      </c>
      <c r="B362" s="210"/>
      <c r="C362" s="211"/>
      <c r="D362" s="203"/>
      <c r="E362" s="203"/>
      <c r="F362" s="203"/>
      <c r="G362" s="203"/>
      <c r="H362" s="203"/>
      <c r="I362" s="203"/>
      <c r="J362" s="71"/>
      <c r="K362" s="231">
        <v>2</v>
      </c>
      <c r="L362" s="232"/>
      <c r="M362" s="232"/>
      <c r="N362" s="223" t="str">
        <f>VLOOKUP(A362,'[4]Inscripcions'!$A$7:$B$209,2)</f>
        <v>Albert Marquillas</v>
      </c>
      <c r="O362" s="223"/>
      <c r="P362" s="223"/>
      <c r="Q362" s="223"/>
      <c r="R362" s="223"/>
      <c r="S362" s="223"/>
      <c r="T362" s="223"/>
      <c r="U362" s="223"/>
      <c r="V362" s="224"/>
      <c r="W362" s="71"/>
      <c r="X362" s="225">
        <f>IF(AA368=0,0,IF(N362=AA368,3,1))+IF(AA370=0,0,IF(N362=AA370,3,1))+IF(AA371=0,0,IF(N362=AA371,3,1))</f>
        <v>1</v>
      </c>
      <c r="Y362" s="226"/>
      <c r="Z362" s="227"/>
      <c r="AA362" s="83" t="s">
        <v>271</v>
      </c>
    </row>
    <row r="363" spans="1:27" ht="15.75">
      <c r="A363" s="209">
        <v>83</v>
      </c>
      <c r="B363" s="210"/>
      <c r="C363" s="211"/>
      <c r="D363" s="203"/>
      <c r="E363" s="203"/>
      <c r="F363" s="203"/>
      <c r="G363" s="203"/>
      <c r="H363" s="203"/>
      <c r="I363" s="203"/>
      <c r="J363" s="71"/>
      <c r="K363" s="231">
        <v>3</v>
      </c>
      <c r="L363" s="232"/>
      <c r="M363" s="232"/>
      <c r="N363" s="223" t="str">
        <f>VLOOKUP(A363,'[4]Inscripcions'!$A$7:$B$209,2)</f>
        <v>Joan Ramon Macià</v>
      </c>
      <c r="O363" s="223"/>
      <c r="P363" s="223"/>
      <c r="Q363" s="223"/>
      <c r="R363" s="223"/>
      <c r="S363" s="223"/>
      <c r="T363" s="223"/>
      <c r="U363" s="223"/>
      <c r="V363" s="224"/>
      <c r="W363" s="71"/>
      <c r="X363" s="225">
        <f>IF(AA368=0,0,IF(N363=AA368,3,1))+IF(AA369=0,0,IF(N363=AA369,3,1))+IF(AA372=0,0,IF(N363=AA372,3,1))</f>
        <v>6</v>
      </c>
      <c r="Y363" s="226"/>
      <c r="Z363" s="227"/>
      <c r="AA363" s="83" t="s">
        <v>272</v>
      </c>
    </row>
    <row r="364" spans="1:27" ht="15.75">
      <c r="A364" s="209">
        <v>84</v>
      </c>
      <c r="B364" s="210"/>
      <c r="C364" s="211"/>
      <c r="D364" s="203"/>
      <c r="E364" s="203"/>
      <c r="F364" s="203"/>
      <c r="G364" s="203"/>
      <c r="H364" s="203"/>
      <c r="I364" s="203"/>
      <c r="J364" s="71"/>
      <c r="K364" s="231">
        <v>4</v>
      </c>
      <c r="L364" s="232"/>
      <c r="M364" s="232"/>
      <c r="N364" s="223">
        <f>VLOOKUP(A364,'[4]Inscripcions'!$A$7:$B$209,2)</f>
        <v>0</v>
      </c>
      <c r="O364" s="223"/>
      <c r="P364" s="223"/>
      <c r="Q364" s="223"/>
      <c r="R364" s="223"/>
      <c r="S364" s="223"/>
      <c r="T364" s="223"/>
      <c r="U364" s="223"/>
      <c r="V364" s="224"/>
      <c r="W364" s="71"/>
      <c r="X364" s="225">
        <f>IF(AA367=0,0,IF(N364=AA367,3,1))+IF(AA370=0,0,IF(N364=AA370,3,1))+IF(AA372=0,0,IF(N364=AA372,3,1))</f>
        <v>1</v>
      </c>
      <c r="Y364" s="226"/>
      <c r="Z364" s="227"/>
      <c r="AA364" s="83">
        <f>IF(X364&gt;8,"1r",IF(X364&gt;6,"2n",IF(X364&gt;3,"3r",IF(X364&gt;2,"4t",))))</f>
        <v>0</v>
      </c>
    </row>
    <row r="365" spans="1:27" ht="6.75" customHeight="1" thickBo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  <c r="AA365" s="71"/>
    </row>
    <row r="366" spans="1:27" ht="13.5" customHeight="1" thickBot="1">
      <c r="A366" s="90" t="s">
        <v>11</v>
      </c>
      <c r="B366" s="90" t="s">
        <v>14</v>
      </c>
      <c r="C366" s="90" t="s">
        <v>4</v>
      </c>
      <c r="D366" s="217" t="s">
        <v>3</v>
      </c>
      <c r="E366" s="218"/>
      <c r="F366" s="219"/>
      <c r="G366" s="91"/>
      <c r="H366" s="220" t="s">
        <v>5</v>
      </c>
      <c r="I366" s="221"/>
      <c r="J366" s="222"/>
      <c r="K366" s="220" t="s">
        <v>7</v>
      </c>
      <c r="L366" s="221"/>
      <c r="M366" s="222"/>
      <c r="N366" s="220" t="s">
        <v>8</v>
      </c>
      <c r="O366" s="221"/>
      <c r="P366" s="222"/>
      <c r="Q366" s="220" t="s">
        <v>9</v>
      </c>
      <c r="R366" s="221"/>
      <c r="S366" s="222"/>
      <c r="T366" s="220" t="s">
        <v>10</v>
      </c>
      <c r="U366" s="221"/>
      <c r="V366" s="222"/>
      <c r="W366" s="91"/>
      <c r="X366" s="220" t="s">
        <v>12</v>
      </c>
      <c r="Y366" s="221"/>
      <c r="Z366" s="222"/>
      <c r="AA366" s="90" t="s">
        <v>13</v>
      </c>
    </row>
    <row r="367" spans="1:35" ht="17.25" customHeight="1" thickBot="1">
      <c r="A367" s="185">
        <v>0.4166666666666667</v>
      </c>
      <c r="B367" s="82" t="s">
        <v>42</v>
      </c>
      <c r="C367" s="88">
        <v>3</v>
      </c>
      <c r="D367" s="92">
        <v>1</v>
      </c>
      <c r="E367" s="93" t="s">
        <v>6</v>
      </c>
      <c r="F367" s="94">
        <v>2</v>
      </c>
      <c r="G367" s="91"/>
      <c r="H367" s="95">
        <v>9</v>
      </c>
      <c r="I367" s="74"/>
      <c r="J367" s="96">
        <v>11</v>
      </c>
      <c r="K367" s="95">
        <v>5</v>
      </c>
      <c r="L367" s="74"/>
      <c r="M367" s="96">
        <v>11</v>
      </c>
      <c r="N367" s="95">
        <v>5</v>
      </c>
      <c r="O367" s="74"/>
      <c r="P367" s="96">
        <v>11</v>
      </c>
      <c r="Q367" s="95"/>
      <c r="R367" s="74"/>
      <c r="S367" s="96"/>
      <c r="T367" s="95"/>
      <c r="U367" s="74"/>
      <c r="V367" s="96"/>
      <c r="W367" s="91"/>
      <c r="X367" s="89">
        <f aca="true" t="shared" si="38" ref="X367:X372">IF(H367&gt;J367,1,0)+IF(K367&gt;M367,1,0)+IF(N367&gt;P367,1,0)+IF(Q367&gt;S367,1,0)+IF(T367&gt;V367,1,0)</f>
        <v>0</v>
      </c>
      <c r="Y367" s="74" t="s">
        <v>6</v>
      </c>
      <c r="Z367" s="97">
        <f aca="true" t="shared" si="39" ref="Z367:Z372">IF(H367&lt;J367,1,0)+IF(K367&lt;M367,1,0)+IF(N367&lt;P367,1,0)+IF(Q367&lt;S367,1,0)+IF(T367&lt;V367,1,0)</f>
        <v>3</v>
      </c>
      <c r="AA367" s="223" t="s">
        <v>268</v>
      </c>
      <c r="AB367" s="223"/>
      <c r="AC367" s="223"/>
      <c r="AD367" s="223"/>
      <c r="AE367" s="223"/>
      <c r="AF367" s="223"/>
      <c r="AG367" s="223"/>
      <c r="AH367" s="223"/>
      <c r="AI367" s="224"/>
    </row>
    <row r="368" spans="1:27" ht="17.25" customHeight="1" thickBot="1">
      <c r="A368" s="195">
        <v>0.4305555555555556</v>
      </c>
      <c r="B368" s="82" t="s">
        <v>42</v>
      </c>
      <c r="C368" s="99">
        <v>1</v>
      </c>
      <c r="D368" s="100">
        <v>2</v>
      </c>
      <c r="E368" s="101" t="s">
        <v>6</v>
      </c>
      <c r="F368" s="87">
        <v>3</v>
      </c>
      <c r="G368" s="71"/>
      <c r="H368" s="95">
        <v>6</v>
      </c>
      <c r="I368" s="74"/>
      <c r="J368" s="96">
        <v>11</v>
      </c>
      <c r="K368" s="95">
        <v>3</v>
      </c>
      <c r="L368" s="74"/>
      <c r="M368" s="96">
        <v>11</v>
      </c>
      <c r="N368" s="95">
        <v>5</v>
      </c>
      <c r="O368" s="74"/>
      <c r="P368" s="96">
        <v>11</v>
      </c>
      <c r="Q368" s="102"/>
      <c r="R368" s="75"/>
      <c r="S368" s="103"/>
      <c r="T368" s="102"/>
      <c r="U368" s="75"/>
      <c r="V368" s="103"/>
      <c r="W368" s="73"/>
      <c r="X368" s="89">
        <f t="shared" si="38"/>
        <v>0</v>
      </c>
      <c r="Y368" s="75" t="s">
        <v>6</v>
      </c>
      <c r="Z368" s="97">
        <f t="shared" si="39"/>
        <v>3</v>
      </c>
      <c r="AA368" s="104" t="str">
        <f>IF(X368&gt;Z368,N362,IF(X368&lt;Z368,N363,0))</f>
        <v>Joan Ramon Macià</v>
      </c>
    </row>
    <row r="369" spans="1:27" ht="17.25" customHeight="1" thickBot="1">
      <c r="A369" s="185">
        <v>0.4444444444444444</v>
      </c>
      <c r="B369" s="82" t="s">
        <v>42</v>
      </c>
      <c r="C369" s="88">
        <v>2</v>
      </c>
      <c r="D369" s="92">
        <v>1</v>
      </c>
      <c r="E369" s="93" t="s">
        <v>6</v>
      </c>
      <c r="F369" s="94">
        <v>3</v>
      </c>
      <c r="G369" s="91"/>
      <c r="H369" s="95">
        <v>6</v>
      </c>
      <c r="I369" s="74"/>
      <c r="J369" s="96">
        <v>11</v>
      </c>
      <c r="K369" s="95">
        <v>3</v>
      </c>
      <c r="L369" s="74"/>
      <c r="M369" s="96">
        <v>11</v>
      </c>
      <c r="N369" s="95">
        <v>5</v>
      </c>
      <c r="O369" s="74"/>
      <c r="P369" s="96">
        <v>11</v>
      </c>
      <c r="Q369" s="95"/>
      <c r="R369" s="74"/>
      <c r="S369" s="96"/>
      <c r="T369" s="95"/>
      <c r="U369" s="74"/>
      <c r="V369" s="96"/>
      <c r="W369" s="91"/>
      <c r="X369" s="89">
        <f t="shared" si="38"/>
        <v>0</v>
      </c>
      <c r="Y369" s="74" t="s">
        <v>6</v>
      </c>
      <c r="Z369" s="97">
        <f t="shared" si="39"/>
        <v>3</v>
      </c>
      <c r="AA369" s="98" t="str">
        <f>IF(X369&gt;Z369,N361,IF(X369&lt;Z369,N363,0))</f>
        <v>Joan Ramon Macià</v>
      </c>
    </row>
    <row r="370" spans="1:27" ht="18" customHeight="1" thickBot="1">
      <c r="A370" s="195"/>
      <c r="B370" s="82"/>
      <c r="C370" s="99"/>
      <c r="D370" s="100"/>
      <c r="E370" s="101"/>
      <c r="F370" s="87"/>
      <c r="G370" s="71"/>
      <c r="H370" s="95"/>
      <c r="I370" s="74"/>
      <c r="J370" s="96"/>
      <c r="K370" s="95"/>
      <c r="L370" s="74"/>
      <c r="M370" s="96"/>
      <c r="N370" s="95"/>
      <c r="O370" s="74"/>
      <c r="P370" s="96"/>
      <c r="Q370" s="95"/>
      <c r="R370" s="74"/>
      <c r="S370" s="96"/>
      <c r="T370" s="102"/>
      <c r="U370" s="75"/>
      <c r="V370" s="103"/>
      <c r="W370" s="73"/>
      <c r="X370" s="89">
        <f t="shared" si="38"/>
        <v>0</v>
      </c>
      <c r="Y370" s="75" t="s">
        <v>6</v>
      </c>
      <c r="Z370" s="97">
        <f t="shared" si="39"/>
        <v>0</v>
      </c>
      <c r="AA370" s="104">
        <f>IF(X370&gt;Z370,N362,IF(X370&lt;Z370,N364,0))</f>
        <v>0</v>
      </c>
    </row>
    <row r="371" spans="1:27" ht="15.75" customHeight="1" thickBot="1">
      <c r="A371" s="185"/>
      <c r="B371" s="82"/>
      <c r="C371" s="88"/>
      <c r="D371" s="92"/>
      <c r="E371" s="93"/>
      <c r="F371" s="94"/>
      <c r="G371" s="91"/>
      <c r="H371" s="95"/>
      <c r="I371" s="74"/>
      <c r="J371" s="96"/>
      <c r="K371" s="95"/>
      <c r="L371" s="74"/>
      <c r="M371" s="96"/>
      <c r="N371" s="95"/>
      <c r="O371" s="74"/>
      <c r="P371" s="96"/>
      <c r="Q371" s="95"/>
      <c r="R371" s="74"/>
      <c r="S371" s="96"/>
      <c r="T371" s="95"/>
      <c r="U371" s="74"/>
      <c r="V371" s="96"/>
      <c r="W371" s="91"/>
      <c r="X371" s="89">
        <f t="shared" si="38"/>
        <v>0</v>
      </c>
      <c r="Y371" s="74" t="s">
        <v>6</v>
      </c>
      <c r="Z371" s="97">
        <f t="shared" si="39"/>
        <v>0</v>
      </c>
      <c r="AA371" s="98">
        <f>IF(X371&gt;Z371,N361,IF(X371&lt;Z371,N362,0))</f>
        <v>0</v>
      </c>
    </row>
    <row r="372" spans="1:27" ht="16.5" customHeight="1" thickBot="1">
      <c r="A372" s="185"/>
      <c r="B372" s="82"/>
      <c r="C372" s="99"/>
      <c r="D372" s="100"/>
      <c r="E372" s="101"/>
      <c r="F372" s="87"/>
      <c r="G372" s="71"/>
      <c r="H372" s="95"/>
      <c r="I372" s="74"/>
      <c r="J372" s="96"/>
      <c r="K372" s="95"/>
      <c r="L372" s="74"/>
      <c r="M372" s="96"/>
      <c r="N372" s="95"/>
      <c r="O372" s="74"/>
      <c r="P372" s="96"/>
      <c r="Q372" s="105"/>
      <c r="R372" s="76"/>
      <c r="S372" s="106"/>
      <c r="T372" s="105"/>
      <c r="U372" s="76"/>
      <c r="V372" s="106"/>
      <c r="W372" s="73"/>
      <c r="X372" s="107">
        <f t="shared" si="38"/>
        <v>0</v>
      </c>
      <c r="Y372" s="76" t="s">
        <v>6</v>
      </c>
      <c r="Z372" s="108">
        <f t="shared" si="39"/>
        <v>0</v>
      </c>
      <c r="AA372" s="109">
        <f>IF(X372&gt;Z372,N363,IF(X372&lt;Z372,N364,0))</f>
        <v>0</v>
      </c>
    </row>
    <row r="373" spans="1:27" ht="15.75" thickBo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  <c r="AA373" s="71"/>
    </row>
    <row r="374" spans="1:27" ht="6.75" customHeight="1" thickBot="1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</row>
    <row r="375" spans="1:27" ht="16.5" thickBot="1">
      <c r="A375" s="86" t="s">
        <v>36</v>
      </c>
      <c r="B375" s="87">
        <v>22</v>
      </c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  <c r="AA375" s="71"/>
    </row>
    <row r="376" spans="1:27" ht="6.75" customHeight="1" thickBo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  <c r="AA376" s="71"/>
    </row>
    <row r="377" spans="1:27" ht="16.5" thickBot="1">
      <c r="A377" s="228" t="s">
        <v>0</v>
      </c>
      <c r="B377" s="229"/>
      <c r="C377" s="230"/>
      <c r="D377" s="203"/>
      <c r="E377" s="203"/>
      <c r="F377" s="71"/>
      <c r="G377" s="71"/>
      <c r="H377" s="71"/>
      <c r="I377" s="71"/>
      <c r="J377" s="71"/>
      <c r="K377" s="228" t="s">
        <v>2</v>
      </c>
      <c r="L377" s="229"/>
      <c r="M377" s="229"/>
      <c r="N377" s="229" t="s">
        <v>1</v>
      </c>
      <c r="O377" s="229"/>
      <c r="P377" s="229"/>
      <c r="Q377" s="229"/>
      <c r="R377" s="229"/>
      <c r="S377" s="229"/>
      <c r="T377" s="229"/>
      <c r="U377" s="229"/>
      <c r="V377" s="230"/>
      <c r="W377" s="71"/>
      <c r="X377" s="214" t="s">
        <v>35</v>
      </c>
      <c r="Y377" s="215"/>
      <c r="Z377" s="216"/>
      <c r="AA377" s="88" t="s">
        <v>38</v>
      </c>
    </row>
    <row r="378" spans="1:27" ht="15.75">
      <c r="A378" s="209">
        <v>85</v>
      </c>
      <c r="B378" s="210"/>
      <c r="C378" s="211"/>
      <c r="D378" s="203"/>
      <c r="E378" s="203"/>
      <c r="F378" s="203"/>
      <c r="G378" s="203"/>
      <c r="H378" s="203"/>
      <c r="I378" s="203"/>
      <c r="J378" s="71"/>
      <c r="K378" s="212">
        <v>1</v>
      </c>
      <c r="L378" s="213"/>
      <c r="M378" s="213"/>
      <c r="N378" s="223">
        <f>VLOOKUP(A378,'[4]Inscripcions'!$A$7:$B$209,2)</f>
        <v>0</v>
      </c>
      <c r="O378" s="223"/>
      <c r="P378" s="223"/>
      <c r="Q378" s="223"/>
      <c r="R378" s="223"/>
      <c r="S378" s="223"/>
      <c r="T378" s="223"/>
      <c r="U378" s="223"/>
      <c r="V378" s="224"/>
      <c r="W378" s="71"/>
      <c r="X378" s="225">
        <f>IF(AA384=0,0,IF(N378=AA384,3,1))+IF(AA386=0,0,IF(N378=AA386,3,1))+IF(AA388=0,0,IF(N378=AA388,3,1))</f>
        <v>0</v>
      </c>
      <c r="Y378" s="226"/>
      <c r="Z378" s="227"/>
      <c r="AA378" s="84">
        <f>IF(X378&gt;8,"1r",IF(X378&gt;6,"2n",IF(X378&gt;3,"3r",IF(X378&gt;2,"4t",))))</f>
        <v>0</v>
      </c>
    </row>
    <row r="379" spans="1:27" ht="15.75">
      <c r="A379" s="209">
        <v>86</v>
      </c>
      <c r="B379" s="210"/>
      <c r="C379" s="211"/>
      <c r="D379" s="203"/>
      <c r="E379" s="203"/>
      <c r="F379" s="203"/>
      <c r="G379" s="203"/>
      <c r="H379" s="203"/>
      <c r="I379" s="203"/>
      <c r="J379" s="71"/>
      <c r="K379" s="231">
        <v>2</v>
      </c>
      <c r="L379" s="232"/>
      <c r="M379" s="232"/>
      <c r="N379" s="223">
        <f>VLOOKUP(A379,'[4]Inscripcions'!$A$7:$B$209,2)</f>
        <v>0</v>
      </c>
      <c r="O379" s="223"/>
      <c r="P379" s="223"/>
      <c r="Q379" s="223"/>
      <c r="R379" s="223"/>
      <c r="S379" s="223"/>
      <c r="T379" s="223"/>
      <c r="U379" s="223"/>
      <c r="V379" s="224"/>
      <c r="W379" s="71"/>
      <c r="X379" s="225">
        <f>IF(AA385=0,0,IF(N379=AA385,3,1))+IF(AA387=0,0,IF(N379=AA387,3,1))+IF(AA388=0,0,IF(N379=AA388,3,1))</f>
        <v>0</v>
      </c>
      <c r="Y379" s="226"/>
      <c r="Z379" s="227"/>
      <c r="AA379" s="83">
        <f>IF(X379&gt;8,"1r",IF(X379&gt;6,"2n",IF(X379&gt;3,"3r",IF(X379&gt;2,"4t",))))</f>
        <v>0</v>
      </c>
    </row>
    <row r="380" spans="1:27" ht="15.75">
      <c r="A380" s="209">
        <v>87</v>
      </c>
      <c r="B380" s="210"/>
      <c r="C380" s="211"/>
      <c r="D380" s="203"/>
      <c r="E380" s="203"/>
      <c r="F380" s="203"/>
      <c r="G380" s="203"/>
      <c r="H380" s="203"/>
      <c r="I380" s="203"/>
      <c r="J380" s="71"/>
      <c r="K380" s="231">
        <v>3</v>
      </c>
      <c r="L380" s="232"/>
      <c r="M380" s="232"/>
      <c r="N380" s="223">
        <f>VLOOKUP(A380,'[4]Inscripcions'!$A$7:$B$209,2)</f>
        <v>0</v>
      </c>
      <c r="O380" s="223"/>
      <c r="P380" s="223"/>
      <c r="Q380" s="223"/>
      <c r="R380" s="223"/>
      <c r="S380" s="223"/>
      <c r="T380" s="223"/>
      <c r="U380" s="223"/>
      <c r="V380" s="224"/>
      <c r="W380" s="71"/>
      <c r="X380" s="225">
        <f>IF(AA385=0,0,IF(N380=AA385,3,1))+IF(AA386=0,0,IF(N380=AA386,3,1))+IF(AA389=0,0,IF(N380=AA389,3,1))</f>
        <v>0</v>
      </c>
      <c r="Y380" s="226"/>
      <c r="Z380" s="227"/>
      <c r="AA380" s="83">
        <f>IF(X380&gt;8,"1r",IF(X380&gt;6,"2n",IF(X380&gt;3,"3r",IF(X380&gt;2,"4t",))))</f>
        <v>0</v>
      </c>
    </row>
    <row r="381" spans="1:27" ht="15.75">
      <c r="A381" s="209">
        <v>88</v>
      </c>
      <c r="B381" s="210"/>
      <c r="C381" s="211"/>
      <c r="D381" s="203"/>
      <c r="E381" s="203"/>
      <c r="F381" s="203"/>
      <c r="G381" s="203"/>
      <c r="H381" s="203"/>
      <c r="I381" s="203"/>
      <c r="J381" s="71"/>
      <c r="K381" s="231">
        <v>4</v>
      </c>
      <c r="L381" s="232"/>
      <c r="M381" s="232"/>
      <c r="N381" s="223">
        <f>VLOOKUP(A381,'[4]Inscripcions'!$A$7:$B$209,2)</f>
        <v>0</v>
      </c>
      <c r="O381" s="223"/>
      <c r="P381" s="223"/>
      <c r="Q381" s="223"/>
      <c r="R381" s="223"/>
      <c r="S381" s="223"/>
      <c r="T381" s="223"/>
      <c r="U381" s="223"/>
      <c r="V381" s="224"/>
      <c r="W381" s="71"/>
      <c r="X381" s="225">
        <f>IF(AA384=0,0,IF(N381=AA384,3,1))+IF(AA387=0,0,IF(N381=AA387,3,1))+IF(AA389=0,0,IF(N381=AA389,3,1))</f>
        <v>0</v>
      </c>
      <c r="Y381" s="226"/>
      <c r="Z381" s="227"/>
      <c r="AA381" s="83">
        <f>IF(X381&gt;8,"1r",IF(X381&gt;6,"2n",IF(X381&gt;3,"3r",IF(X381&gt;2,"4t",))))</f>
        <v>0</v>
      </c>
    </row>
    <row r="382" spans="1:27" ht="6.75" customHeight="1" thickBo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  <c r="AA382" s="71"/>
    </row>
    <row r="383" spans="1:27" ht="13.5" customHeight="1" thickBot="1">
      <c r="A383" s="90" t="s">
        <v>11</v>
      </c>
      <c r="B383" s="90" t="s">
        <v>14</v>
      </c>
      <c r="C383" s="90" t="s">
        <v>4</v>
      </c>
      <c r="D383" s="217" t="s">
        <v>3</v>
      </c>
      <c r="E383" s="218"/>
      <c r="F383" s="219"/>
      <c r="G383" s="91"/>
      <c r="H383" s="220" t="s">
        <v>5</v>
      </c>
      <c r="I383" s="221"/>
      <c r="J383" s="222"/>
      <c r="K383" s="220" t="s">
        <v>7</v>
      </c>
      <c r="L383" s="221"/>
      <c r="M383" s="222"/>
      <c r="N383" s="220" t="s">
        <v>8</v>
      </c>
      <c r="O383" s="221"/>
      <c r="P383" s="222"/>
      <c r="Q383" s="220" t="s">
        <v>9</v>
      </c>
      <c r="R383" s="221"/>
      <c r="S383" s="222"/>
      <c r="T383" s="220" t="s">
        <v>10</v>
      </c>
      <c r="U383" s="221"/>
      <c r="V383" s="222"/>
      <c r="W383" s="91"/>
      <c r="X383" s="220" t="s">
        <v>12</v>
      </c>
      <c r="Y383" s="221"/>
      <c r="Z383" s="222"/>
      <c r="AA383" s="90" t="s">
        <v>13</v>
      </c>
    </row>
    <row r="384" spans="1:27" ht="18.75" customHeight="1" thickBot="1">
      <c r="A384" s="185">
        <v>0.40277777777777773</v>
      </c>
      <c r="B384" s="82" t="s">
        <v>46</v>
      </c>
      <c r="C384" s="88">
        <v>3</v>
      </c>
      <c r="D384" s="92">
        <v>1</v>
      </c>
      <c r="E384" s="93" t="s">
        <v>6</v>
      </c>
      <c r="F384" s="94">
        <v>4</v>
      </c>
      <c r="G384" s="91"/>
      <c r="H384" s="95"/>
      <c r="I384" s="74"/>
      <c r="J384" s="96"/>
      <c r="K384" s="95"/>
      <c r="L384" s="74"/>
      <c r="M384" s="96"/>
      <c r="N384" s="95"/>
      <c r="O384" s="74"/>
      <c r="P384" s="96"/>
      <c r="Q384" s="95"/>
      <c r="R384" s="74"/>
      <c r="S384" s="96"/>
      <c r="T384" s="95"/>
      <c r="U384" s="74"/>
      <c r="V384" s="96"/>
      <c r="W384" s="91"/>
      <c r="X384" s="89">
        <f aca="true" t="shared" si="40" ref="X384:X389">IF(H384&gt;J384,1,0)+IF(K384&gt;M384,1,0)+IF(N384&gt;P384,1,0)+IF(Q384&gt;S384,1,0)+IF(T384&gt;V384,1,0)</f>
        <v>0</v>
      </c>
      <c r="Y384" s="74" t="s">
        <v>6</v>
      </c>
      <c r="Z384" s="97">
        <f aca="true" t="shared" si="41" ref="Z384:Z389">IF(H384&lt;J384,1,0)+IF(K384&lt;M384,1,0)+IF(N384&lt;P384,1,0)+IF(Q384&lt;S384,1,0)+IF(T384&lt;V384,1,0)</f>
        <v>0</v>
      </c>
      <c r="AA384" s="98">
        <f>IF(X384&gt;Z384,N378,IF(X384&lt;Z384,N381,0))</f>
        <v>0</v>
      </c>
    </row>
    <row r="385" spans="1:27" ht="19.5" customHeight="1" thickBot="1">
      <c r="A385" s="195">
        <v>0.4166666666666667</v>
      </c>
      <c r="B385" s="82" t="s">
        <v>46</v>
      </c>
      <c r="C385" s="99">
        <v>1</v>
      </c>
      <c r="D385" s="100">
        <v>2</v>
      </c>
      <c r="E385" s="101" t="s">
        <v>6</v>
      </c>
      <c r="F385" s="87">
        <v>3</v>
      </c>
      <c r="G385" s="71"/>
      <c r="H385" s="95"/>
      <c r="I385" s="74"/>
      <c r="J385" s="96"/>
      <c r="K385" s="95"/>
      <c r="L385" s="74"/>
      <c r="M385" s="96"/>
      <c r="N385" s="95"/>
      <c r="O385" s="74"/>
      <c r="P385" s="96"/>
      <c r="Q385" s="102"/>
      <c r="R385" s="75"/>
      <c r="S385" s="103"/>
      <c r="T385" s="102"/>
      <c r="U385" s="75"/>
      <c r="V385" s="103"/>
      <c r="W385" s="73"/>
      <c r="X385" s="89">
        <f t="shared" si="40"/>
        <v>0</v>
      </c>
      <c r="Y385" s="75" t="s">
        <v>6</v>
      </c>
      <c r="Z385" s="97">
        <f t="shared" si="41"/>
        <v>0</v>
      </c>
      <c r="AA385" s="104">
        <f>IF(X385&gt;Z385,N379,IF(X385&lt;Z385,N380,0))</f>
        <v>0</v>
      </c>
    </row>
    <row r="386" spans="1:27" ht="18" customHeight="1" thickBot="1">
      <c r="A386" s="185">
        <v>0.4305555555555556</v>
      </c>
      <c r="B386" s="82" t="s">
        <v>46</v>
      </c>
      <c r="C386" s="88">
        <v>4</v>
      </c>
      <c r="D386" s="92">
        <v>1</v>
      </c>
      <c r="E386" s="93" t="s">
        <v>6</v>
      </c>
      <c r="F386" s="94">
        <v>3</v>
      </c>
      <c r="G386" s="91"/>
      <c r="H386" s="95"/>
      <c r="I386" s="74"/>
      <c r="J386" s="96"/>
      <c r="K386" s="95"/>
      <c r="L386" s="74"/>
      <c r="M386" s="96"/>
      <c r="N386" s="95"/>
      <c r="O386" s="74"/>
      <c r="P386" s="96"/>
      <c r="Q386" s="95"/>
      <c r="R386" s="74"/>
      <c r="S386" s="96"/>
      <c r="T386" s="95"/>
      <c r="U386" s="74"/>
      <c r="V386" s="96"/>
      <c r="W386" s="91"/>
      <c r="X386" s="89">
        <f t="shared" si="40"/>
        <v>0</v>
      </c>
      <c r="Y386" s="74" t="s">
        <v>6</v>
      </c>
      <c r="Z386" s="97">
        <f t="shared" si="41"/>
        <v>0</v>
      </c>
      <c r="AA386" s="98">
        <f>IF(X386&gt;Z386,N378,IF(X386&lt;Z386,N380,0))</f>
        <v>0</v>
      </c>
    </row>
    <row r="387" spans="1:27" ht="18" customHeight="1" thickBot="1">
      <c r="A387" s="195">
        <v>0.4444444444444444</v>
      </c>
      <c r="B387" s="82" t="s">
        <v>46</v>
      </c>
      <c r="C387" s="99">
        <v>3</v>
      </c>
      <c r="D387" s="100">
        <v>2</v>
      </c>
      <c r="E387" s="101" t="s">
        <v>6</v>
      </c>
      <c r="F387" s="87">
        <v>4</v>
      </c>
      <c r="G387" s="71"/>
      <c r="H387" s="95"/>
      <c r="I387" s="74"/>
      <c r="J387" s="96"/>
      <c r="K387" s="95"/>
      <c r="L387" s="74"/>
      <c r="M387" s="96"/>
      <c r="N387" s="95"/>
      <c r="O387" s="74"/>
      <c r="P387" s="96"/>
      <c r="Q387" s="102"/>
      <c r="R387" s="75"/>
      <c r="S387" s="103"/>
      <c r="T387" s="102"/>
      <c r="U387" s="75"/>
      <c r="V387" s="103"/>
      <c r="W387" s="73"/>
      <c r="X387" s="89">
        <f t="shared" si="40"/>
        <v>0</v>
      </c>
      <c r="Y387" s="75" t="s">
        <v>6</v>
      </c>
      <c r="Z387" s="97">
        <f t="shared" si="41"/>
        <v>0</v>
      </c>
      <c r="AA387" s="104">
        <f>IF(X387&gt;Z387,N379,IF(X387&lt;Z387,N381,0))</f>
        <v>0</v>
      </c>
    </row>
    <row r="388" spans="1:27" ht="18" customHeight="1" thickBot="1">
      <c r="A388" s="185">
        <v>0.4583333333333333</v>
      </c>
      <c r="B388" s="82" t="s">
        <v>46</v>
      </c>
      <c r="C388" s="88">
        <v>4</v>
      </c>
      <c r="D388" s="92">
        <v>1</v>
      </c>
      <c r="E388" s="93" t="s">
        <v>6</v>
      </c>
      <c r="F388" s="94">
        <v>2</v>
      </c>
      <c r="G388" s="91"/>
      <c r="H388" s="95"/>
      <c r="I388" s="74"/>
      <c r="J388" s="96"/>
      <c r="K388" s="95"/>
      <c r="L388" s="74"/>
      <c r="M388" s="96"/>
      <c r="N388" s="95"/>
      <c r="O388" s="74"/>
      <c r="P388" s="96"/>
      <c r="Q388" s="95"/>
      <c r="R388" s="74"/>
      <c r="S388" s="96"/>
      <c r="T388" s="95"/>
      <c r="U388" s="74"/>
      <c r="V388" s="96"/>
      <c r="W388" s="91"/>
      <c r="X388" s="89">
        <f t="shared" si="40"/>
        <v>0</v>
      </c>
      <c r="Y388" s="74" t="s">
        <v>6</v>
      </c>
      <c r="Z388" s="97">
        <f t="shared" si="41"/>
        <v>0</v>
      </c>
      <c r="AA388" s="98">
        <f>IF(X388&gt;Z388,N378,IF(X388&lt;Z388,N379,0))</f>
        <v>0</v>
      </c>
    </row>
    <row r="389" spans="1:27" ht="18.75" customHeight="1" thickBot="1">
      <c r="A389" s="185">
        <v>0.47222222222222227</v>
      </c>
      <c r="B389" s="82" t="s">
        <v>46</v>
      </c>
      <c r="C389" s="99">
        <v>2</v>
      </c>
      <c r="D389" s="100">
        <v>3</v>
      </c>
      <c r="E389" s="101" t="s">
        <v>6</v>
      </c>
      <c r="F389" s="87">
        <v>4</v>
      </c>
      <c r="G389" s="71"/>
      <c r="H389" s="95"/>
      <c r="I389" s="74"/>
      <c r="J389" s="96"/>
      <c r="K389" s="95"/>
      <c r="L389" s="74"/>
      <c r="M389" s="96"/>
      <c r="N389" s="95"/>
      <c r="O389" s="74"/>
      <c r="P389" s="96"/>
      <c r="Q389" s="105"/>
      <c r="R389" s="76"/>
      <c r="S389" s="106"/>
      <c r="T389" s="105"/>
      <c r="U389" s="76"/>
      <c r="V389" s="106"/>
      <c r="W389" s="73"/>
      <c r="X389" s="107">
        <f t="shared" si="40"/>
        <v>0</v>
      </c>
      <c r="Y389" s="76" t="s">
        <v>6</v>
      </c>
      <c r="Z389" s="108">
        <f t="shared" si="41"/>
        <v>0</v>
      </c>
      <c r="AA389" s="109">
        <f>IF(X389&gt;Z389,N380,IF(X389&lt;Z389,N381,0))</f>
        <v>0</v>
      </c>
    </row>
    <row r="390" spans="1:27" ht="13.5" thickBo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6.75" customHeight="1" thickBot="1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</row>
    <row r="392" spans="1:27" ht="13.5" thickBot="1">
      <c r="A392" s="22" t="s">
        <v>36</v>
      </c>
      <c r="B392" s="5">
        <v>23</v>
      </c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</row>
    <row r="393" spans="1:27" ht="6.75" customHeight="1" thickBo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13.5" thickBot="1">
      <c r="A394" s="240" t="s">
        <v>0</v>
      </c>
      <c r="B394" s="241"/>
      <c r="C394" s="242"/>
      <c r="D394" s="243"/>
      <c r="E394" s="243"/>
      <c r="F394"/>
      <c r="G394"/>
      <c r="H394"/>
      <c r="I394"/>
      <c r="J394"/>
      <c r="K394" s="240" t="s">
        <v>2</v>
      </c>
      <c r="L394" s="241"/>
      <c r="M394" s="241"/>
      <c r="N394" s="241" t="s">
        <v>1</v>
      </c>
      <c r="O394" s="241"/>
      <c r="P394" s="241"/>
      <c r="Q394" s="241"/>
      <c r="R394" s="241"/>
      <c r="S394" s="241"/>
      <c r="T394" s="241"/>
      <c r="U394" s="241"/>
      <c r="V394" s="242"/>
      <c r="W394"/>
      <c r="X394" s="246" t="s">
        <v>35</v>
      </c>
      <c r="Y394" s="247"/>
      <c r="Z394" s="248"/>
      <c r="AA394" s="12" t="s">
        <v>38</v>
      </c>
    </row>
    <row r="395" spans="1:27" ht="12.75">
      <c r="A395" s="249">
        <v>89</v>
      </c>
      <c r="B395" s="250"/>
      <c r="C395" s="251"/>
      <c r="D395" s="243"/>
      <c r="E395" s="243"/>
      <c r="F395" s="243"/>
      <c r="G395" s="243"/>
      <c r="H395" s="243"/>
      <c r="I395" s="243"/>
      <c r="J395"/>
      <c r="K395" s="252">
        <v>1</v>
      </c>
      <c r="L395" s="253"/>
      <c r="M395" s="253"/>
      <c r="N395" s="254">
        <f>VLOOKUP(A395,'[4]Inscripcions'!$A$7:$B$209,2)</f>
        <v>0</v>
      </c>
      <c r="O395" s="254"/>
      <c r="P395" s="254"/>
      <c r="Q395" s="254"/>
      <c r="R395" s="254"/>
      <c r="S395" s="254"/>
      <c r="T395" s="254"/>
      <c r="U395" s="254"/>
      <c r="V395" s="255"/>
      <c r="W395"/>
      <c r="X395" s="256">
        <f>IF(AA401=0,0,IF(N395=AA401,3,1))+IF(AA403=0,0,IF(N395=AA403,3,1))+IF(AA405=0,0,IF(N395=AA405,3,1))</f>
        <v>0</v>
      </c>
      <c r="Y395" s="257"/>
      <c r="Z395" s="258"/>
      <c r="AA395" s="39">
        <f>IF(X395&gt;8,"1r",IF(X395&gt;6,"2n",IF(X395&gt;3,"3r",IF(X395&gt;2,"4t",))))</f>
        <v>0</v>
      </c>
    </row>
    <row r="396" spans="1:27" ht="12.75">
      <c r="A396" s="249">
        <v>90</v>
      </c>
      <c r="B396" s="250"/>
      <c r="C396" s="251"/>
      <c r="D396" s="243"/>
      <c r="E396" s="243"/>
      <c r="F396" s="243"/>
      <c r="G396" s="243"/>
      <c r="H396" s="243"/>
      <c r="I396" s="243"/>
      <c r="J396"/>
      <c r="K396" s="244">
        <v>2</v>
      </c>
      <c r="L396" s="245"/>
      <c r="M396" s="245"/>
      <c r="N396" s="254">
        <f>VLOOKUP(A396,'[4]Inscripcions'!$A$7:$B$209,2)</f>
        <v>0</v>
      </c>
      <c r="O396" s="254"/>
      <c r="P396" s="254"/>
      <c r="Q396" s="254"/>
      <c r="R396" s="254"/>
      <c r="S396" s="254"/>
      <c r="T396" s="254"/>
      <c r="U396" s="254"/>
      <c r="V396" s="255"/>
      <c r="W396"/>
      <c r="X396" s="256">
        <f>IF(AA402=0,0,IF(N396=AA402,3,1))+IF(AA404=0,0,IF(N396=AA404,3,1))+IF(AA405=0,0,IF(N396=AA405,3,1))</f>
        <v>0</v>
      </c>
      <c r="Y396" s="257"/>
      <c r="Z396" s="258"/>
      <c r="AA396" s="40">
        <f>IF(X396&gt;8,"1r",IF(X396&gt;6,"2n",IF(X396&gt;3,"3r",IF(X396&gt;2,"4t",))))</f>
        <v>0</v>
      </c>
    </row>
    <row r="397" spans="1:27" ht="12.75">
      <c r="A397" s="249">
        <v>91</v>
      </c>
      <c r="B397" s="250"/>
      <c r="C397" s="251"/>
      <c r="D397" s="243"/>
      <c r="E397" s="243"/>
      <c r="F397" s="243"/>
      <c r="G397" s="243"/>
      <c r="H397" s="243"/>
      <c r="I397" s="243"/>
      <c r="J397"/>
      <c r="K397" s="244">
        <v>3</v>
      </c>
      <c r="L397" s="245"/>
      <c r="M397" s="245"/>
      <c r="N397" s="254">
        <f>VLOOKUP(A397,'[4]Inscripcions'!$A$7:$B$209,2)</f>
        <v>0</v>
      </c>
      <c r="O397" s="254"/>
      <c r="P397" s="254"/>
      <c r="Q397" s="254"/>
      <c r="R397" s="254"/>
      <c r="S397" s="254"/>
      <c r="T397" s="254"/>
      <c r="U397" s="254"/>
      <c r="V397" s="255"/>
      <c r="W397"/>
      <c r="X397" s="256">
        <f>IF(AA402=0,0,IF(N397=AA402,3,1))+IF(AA403=0,0,IF(N397=AA403,3,1))+IF(AA406=0,0,IF(N397=AA406,3,1))</f>
        <v>0</v>
      </c>
      <c r="Y397" s="257"/>
      <c r="Z397" s="258"/>
      <c r="AA397" s="40">
        <f>IF(X397&gt;8,"1r",IF(X397&gt;6,"2n",IF(X397&gt;3,"3r",IF(X397&gt;2,"4t",))))</f>
        <v>0</v>
      </c>
    </row>
    <row r="398" spans="1:27" ht="12.75">
      <c r="A398" s="249">
        <v>92</v>
      </c>
      <c r="B398" s="250"/>
      <c r="C398" s="251"/>
      <c r="D398" s="243"/>
      <c r="E398" s="243"/>
      <c r="F398" s="243"/>
      <c r="G398" s="243"/>
      <c r="H398" s="243"/>
      <c r="I398" s="243"/>
      <c r="J398"/>
      <c r="K398" s="244">
        <v>4</v>
      </c>
      <c r="L398" s="245"/>
      <c r="M398" s="245"/>
      <c r="N398" s="254">
        <f>VLOOKUP(A398,'[4]Inscripcions'!$A$7:$B$209,2)</f>
        <v>0</v>
      </c>
      <c r="O398" s="254"/>
      <c r="P398" s="254"/>
      <c r="Q398" s="254"/>
      <c r="R398" s="254"/>
      <c r="S398" s="254"/>
      <c r="T398" s="254"/>
      <c r="U398" s="254"/>
      <c r="V398" s="255"/>
      <c r="W398"/>
      <c r="X398" s="256">
        <f>IF(AA401=0,0,IF(N398=AA401,3,1))+IF(AA404=0,0,IF(N398=AA404,3,1))+IF(AA406=0,0,IF(N398=AA406,3,1))</f>
        <v>0</v>
      </c>
      <c r="Y398" s="257"/>
      <c r="Z398" s="258"/>
      <c r="AA398" s="40">
        <f>IF(X398&gt;8,"1r",IF(X398&gt;6,"2n",IF(X398&gt;3,"3r",IF(X398&gt;2,"4t",))))</f>
        <v>0</v>
      </c>
    </row>
    <row r="399" spans="1:27" ht="6.75" customHeight="1" thickBo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13.5" customHeight="1" thickBot="1">
      <c r="A400" s="9" t="s">
        <v>11</v>
      </c>
      <c r="B400" s="9" t="s">
        <v>14</v>
      </c>
      <c r="C400" s="9" t="s">
        <v>4</v>
      </c>
      <c r="D400" s="262" t="s">
        <v>3</v>
      </c>
      <c r="E400" s="263"/>
      <c r="F400" s="264"/>
      <c r="G400" s="10"/>
      <c r="H400" s="259" t="s">
        <v>5</v>
      </c>
      <c r="I400" s="260"/>
      <c r="J400" s="261"/>
      <c r="K400" s="259" t="s">
        <v>7</v>
      </c>
      <c r="L400" s="260"/>
      <c r="M400" s="261"/>
      <c r="N400" s="259" t="s">
        <v>8</v>
      </c>
      <c r="O400" s="260"/>
      <c r="P400" s="261"/>
      <c r="Q400" s="259" t="s">
        <v>9</v>
      </c>
      <c r="R400" s="260"/>
      <c r="S400" s="261"/>
      <c r="T400" s="259" t="s">
        <v>10</v>
      </c>
      <c r="U400" s="260"/>
      <c r="V400" s="261"/>
      <c r="W400" s="10"/>
      <c r="X400" s="259" t="s">
        <v>12</v>
      </c>
      <c r="Y400" s="260"/>
      <c r="Z400" s="261"/>
      <c r="AA400" s="9" t="s">
        <v>13</v>
      </c>
    </row>
    <row r="401" spans="1:27" ht="13.5" customHeight="1" thickBot="1">
      <c r="A401" s="11">
        <v>0.4166666666666667</v>
      </c>
      <c r="B401" s="29" t="s">
        <v>43</v>
      </c>
      <c r="C401" s="12">
        <v>3</v>
      </c>
      <c r="D401" s="13">
        <v>1</v>
      </c>
      <c r="E401" s="14" t="s">
        <v>6</v>
      </c>
      <c r="F401" s="15">
        <v>4</v>
      </c>
      <c r="G401" s="10"/>
      <c r="H401" s="95"/>
      <c r="I401" s="74"/>
      <c r="J401" s="96"/>
      <c r="K401" s="95"/>
      <c r="L401" s="74"/>
      <c r="M401" s="96"/>
      <c r="N401" s="95"/>
      <c r="O401" s="74"/>
      <c r="P401" s="96"/>
      <c r="Q401" s="26"/>
      <c r="R401" s="16"/>
      <c r="S401" s="23"/>
      <c r="T401" s="26"/>
      <c r="U401" s="16"/>
      <c r="V401" s="23"/>
      <c r="W401" s="10"/>
      <c r="X401" s="31">
        <f aca="true" t="shared" si="42" ref="X401:X406">IF(H401&gt;J401,1,0)+IF(K401&gt;M401,1,0)+IF(N401&gt;P401,1,0)+IF(Q401&gt;S401,1,0)+IF(T401&gt;V401,1,0)</f>
        <v>0</v>
      </c>
      <c r="Y401" s="16" t="s">
        <v>6</v>
      </c>
      <c r="Z401" s="33">
        <f aca="true" t="shared" si="43" ref="Z401:Z406">IF(H401&lt;J401,1,0)+IF(K401&lt;M401,1,0)+IF(N401&lt;P401,1,0)+IF(Q401&lt;S401,1,0)+IF(T401&lt;V401,1,0)</f>
        <v>0</v>
      </c>
      <c r="AA401" s="36">
        <f>IF(X401&gt;Z401,N395,IF(X401&lt;Z401,N398,0))</f>
        <v>0</v>
      </c>
    </row>
    <row r="402" spans="1:27" ht="13.5" customHeight="1" thickBot="1">
      <c r="A402" s="7">
        <v>0.4305555555555556</v>
      </c>
      <c r="B402" s="30" t="s">
        <v>43</v>
      </c>
      <c r="C402" s="6">
        <v>1</v>
      </c>
      <c r="D402" s="3">
        <v>2</v>
      </c>
      <c r="E402" s="4" t="s">
        <v>6</v>
      </c>
      <c r="F402" s="5">
        <v>3</v>
      </c>
      <c r="G402"/>
      <c r="H402" s="95"/>
      <c r="I402" s="74"/>
      <c r="J402" s="96"/>
      <c r="K402" s="95"/>
      <c r="L402" s="74"/>
      <c r="M402" s="96"/>
      <c r="N402" s="95"/>
      <c r="O402" s="74"/>
      <c r="P402" s="96"/>
      <c r="Q402" s="27"/>
      <c r="R402" s="2"/>
      <c r="S402" s="24"/>
      <c r="T402" s="27"/>
      <c r="U402" s="2"/>
      <c r="V402" s="24"/>
      <c r="W402" s="1"/>
      <c r="X402" s="31">
        <f t="shared" si="42"/>
        <v>0</v>
      </c>
      <c r="Y402" s="2" t="s">
        <v>6</v>
      </c>
      <c r="Z402" s="33">
        <f t="shared" si="43"/>
        <v>0</v>
      </c>
      <c r="AA402" s="37">
        <f>IF(X402&gt;Z402,N396,IF(X402&lt;Z402,N397,0))</f>
        <v>0</v>
      </c>
    </row>
    <row r="403" spans="1:27" ht="13.5" customHeight="1" thickBot="1">
      <c r="A403" s="11">
        <v>0.4444444444444444</v>
      </c>
      <c r="B403" s="29" t="s">
        <v>43</v>
      </c>
      <c r="C403" s="12">
        <v>4</v>
      </c>
      <c r="D403" s="13">
        <v>1</v>
      </c>
      <c r="E403" s="14" t="s">
        <v>6</v>
      </c>
      <c r="F403" s="15">
        <v>3</v>
      </c>
      <c r="G403" s="10"/>
      <c r="H403" s="95"/>
      <c r="I403" s="74"/>
      <c r="J403" s="96"/>
      <c r="K403" s="95"/>
      <c r="L403" s="74"/>
      <c r="M403" s="96"/>
      <c r="N403" s="95"/>
      <c r="O403" s="74"/>
      <c r="P403" s="96"/>
      <c r="Q403" s="26"/>
      <c r="R403" s="16"/>
      <c r="S403" s="23"/>
      <c r="T403" s="26"/>
      <c r="U403" s="16"/>
      <c r="V403" s="23"/>
      <c r="W403" s="10"/>
      <c r="X403" s="31">
        <f t="shared" si="42"/>
        <v>0</v>
      </c>
      <c r="Y403" s="16" t="s">
        <v>6</v>
      </c>
      <c r="Z403" s="33">
        <f t="shared" si="43"/>
        <v>0</v>
      </c>
      <c r="AA403" s="36">
        <f>IF(X403&gt;Z403,N395,IF(X403&lt;Z403,N397,0))</f>
        <v>0</v>
      </c>
    </row>
    <row r="404" spans="1:27" ht="13.5" customHeight="1" thickBot="1">
      <c r="A404" s="7">
        <v>0.4583333333333333</v>
      </c>
      <c r="B404" s="30" t="s">
        <v>43</v>
      </c>
      <c r="C404" s="6">
        <v>3</v>
      </c>
      <c r="D404" s="3">
        <v>2</v>
      </c>
      <c r="E404" s="4" t="s">
        <v>6</v>
      </c>
      <c r="F404" s="5">
        <v>4</v>
      </c>
      <c r="G404"/>
      <c r="H404" s="95"/>
      <c r="I404" s="74"/>
      <c r="J404" s="96"/>
      <c r="K404" s="95"/>
      <c r="L404" s="74"/>
      <c r="M404" s="96"/>
      <c r="N404" s="95"/>
      <c r="O404" s="74"/>
      <c r="P404" s="96"/>
      <c r="Q404" s="27"/>
      <c r="R404" s="2"/>
      <c r="S404" s="24"/>
      <c r="T404" s="27"/>
      <c r="U404" s="2"/>
      <c r="V404" s="24"/>
      <c r="W404" s="1"/>
      <c r="X404" s="31">
        <f t="shared" si="42"/>
        <v>0</v>
      </c>
      <c r="Y404" s="2" t="s">
        <v>6</v>
      </c>
      <c r="Z404" s="33">
        <f t="shared" si="43"/>
        <v>0</v>
      </c>
      <c r="AA404" s="37">
        <f>IF(X404&gt;Z404,N396,IF(X404&lt;Z404,N398,0))</f>
        <v>0</v>
      </c>
    </row>
    <row r="405" spans="1:27" ht="13.5" customHeight="1" thickBot="1">
      <c r="A405" s="11">
        <v>0.47222222222222227</v>
      </c>
      <c r="B405" s="29" t="s">
        <v>43</v>
      </c>
      <c r="C405" s="12">
        <v>4</v>
      </c>
      <c r="D405" s="13">
        <v>1</v>
      </c>
      <c r="E405" s="14" t="s">
        <v>6</v>
      </c>
      <c r="F405" s="15">
        <v>2</v>
      </c>
      <c r="G405" s="10"/>
      <c r="H405" s="95"/>
      <c r="I405" s="74"/>
      <c r="J405" s="96"/>
      <c r="K405" s="95"/>
      <c r="L405" s="74"/>
      <c r="M405" s="96"/>
      <c r="N405" s="95"/>
      <c r="O405" s="74"/>
      <c r="P405" s="96"/>
      <c r="Q405" s="26"/>
      <c r="R405" s="16"/>
      <c r="S405" s="23"/>
      <c r="T405" s="26"/>
      <c r="U405" s="16"/>
      <c r="V405" s="23"/>
      <c r="W405" s="10"/>
      <c r="X405" s="31">
        <f t="shared" si="42"/>
        <v>0</v>
      </c>
      <c r="Y405" s="16" t="s">
        <v>6</v>
      </c>
      <c r="Z405" s="33">
        <f t="shared" si="43"/>
        <v>0</v>
      </c>
      <c r="AA405" s="36">
        <f>IF(X405&gt;Z405,N395,IF(X405&lt;Z405,N396,0))</f>
        <v>0</v>
      </c>
    </row>
    <row r="406" spans="1:27" ht="13.5" customHeight="1" thickBot="1">
      <c r="A406" s="7">
        <v>0.4861111111111111</v>
      </c>
      <c r="B406" s="30" t="s">
        <v>43</v>
      </c>
      <c r="C406" s="6">
        <v>2</v>
      </c>
      <c r="D406" s="3">
        <v>3</v>
      </c>
      <c r="E406" s="4" t="s">
        <v>6</v>
      </c>
      <c r="F406" s="5">
        <v>4</v>
      </c>
      <c r="G406"/>
      <c r="H406" s="95"/>
      <c r="I406" s="74"/>
      <c r="J406" s="96"/>
      <c r="K406" s="95"/>
      <c r="L406" s="74"/>
      <c r="M406" s="96"/>
      <c r="N406" s="95"/>
      <c r="O406" s="74"/>
      <c r="P406" s="96"/>
      <c r="Q406" s="28"/>
      <c r="R406" s="67"/>
      <c r="S406" s="25"/>
      <c r="T406" s="28"/>
      <c r="U406" s="67"/>
      <c r="V406" s="25"/>
      <c r="W406" s="1"/>
      <c r="X406" s="34">
        <f t="shared" si="42"/>
        <v>0</v>
      </c>
      <c r="Y406" s="67" t="s">
        <v>6</v>
      </c>
      <c r="Z406" s="35">
        <f t="shared" si="43"/>
        <v>0</v>
      </c>
      <c r="AA406" s="38">
        <f>IF(X406&gt;Z406,N397,IF(X406&lt;Z406,N398,0))</f>
        <v>0</v>
      </c>
    </row>
    <row r="407" spans="1:27" ht="13.5" thickBo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</row>
    <row r="408" spans="1:27" ht="6.75" customHeight="1" thickBot="1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</row>
    <row r="409" spans="1:27" ht="13.5" thickBot="1">
      <c r="A409" s="22" t="s">
        <v>36</v>
      </c>
      <c r="B409" s="5">
        <v>24</v>
      </c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6.75" customHeight="1" thickBo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</row>
    <row r="411" spans="1:27" ht="13.5" thickBot="1">
      <c r="A411" s="240" t="s">
        <v>0</v>
      </c>
      <c r="B411" s="241"/>
      <c r="C411" s="242"/>
      <c r="D411" s="243"/>
      <c r="E411" s="243"/>
      <c r="F411"/>
      <c r="G411"/>
      <c r="H411"/>
      <c r="I411"/>
      <c r="J411"/>
      <c r="K411" s="240" t="s">
        <v>2</v>
      </c>
      <c r="L411" s="241"/>
      <c r="M411" s="241"/>
      <c r="N411" s="241" t="s">
        <v>1</v>
      </c>
      <c r="O411" s="241"/>
      <c r="P411" s="241"/>
      <c r="Q411" s="241"/>
      <c r="R411" s="241"/>
      <c r="S411" s="241"/>
      <c r="T411" s="241"/>
      <c r="U411" s="241"/>
      <c r="V411" s="242"/>
      <c r="W411"/>
      <c r="X411" s="246" t="s">
        <v>35</v>
      </c>
      <c r="Y411" s="247"/>
      <c r="Z411" s="248"/>
      <c r="AA411" s="12" t="s">
        <v>38</v>
      </c>
    </row>
    <row r="412" spans="1:27" ht="12.75">
      <c r="A412" s="249">
        <v>93</v>
      </c>
      <c r="B412" s="250"/>
      <c r="C412" s="251"/>
      <c r="D412" s="243"/>
      <c r="E412" s="243"/>
      <c r="F412" s="243"/>
      <c r="G412" s="243"/>
      <c r="H412" s="243"/>
      <c r="I412" s="243"/>
      <c r="J412"/>
      <c r="K412" s="252">
        <v>1</v>
      </c>
      <c r="L412" s="253"/>
      <c r="M412" s="253"/>
      <c r="N412" s="254">
        <f>VLOOKUP(A412,'[4]Inscripcions'!$A$7:$B$209,2)</f>
        <v>0</v>
      </c>
      <c r="O412" s="254"/>
      <c r="P412" s="254"/>
      <c r="Q412" s="254"/>
      <c r="R412" s="254"/>
      <c r="S412" s="254"/>
      <c r="T412" s="254"/>
      <c r="U412" s="254"/>
      <c r="V412" s="255"/>
      <c r="W412"/>
      <c r="X412" s="256">
        <f>IF(AA418=0,0,IF(N412=AA418,3,1))+IF(AA420=0,0,IF(N412=AA420,3,1))+IF(AA422=0,0,IF(N412=AA422,3,1))</f>
        <v>0</v>
      </c>
      <c r="Y412" s="257"/>
      <c r="Z412" s="258"/>
      <c r="AA412" s="39">
        <f>IF(X412&gt;8,"1r",IF(X412&gt;6,"2n",IF(X412&gt;3,"3r",IF(X412&gt;2,"4t",))))</f>
        <v>0</v>
      </c>
    </row>
    <row r="413" spans="1:27" ht="12.75">
      <c r="A413" s="249">
        <v>94</v>
      </c>
      <c r="B413" s="250"/>
      <c r="C413" s="251"/>
      <c r="D413" s="243"/>
      <c r="E413" s="243"/>
      <c r="F413" s="243"/>
      <c r="G413" s="243"/>
      <c r="H413" s="243"/>
      <c r="I413" s="243"/>
      <c r="J413"/>
      <c r="K413" s="244">
        <v>2</v>
      </c>
      <c r="L413" s="245"/>
      <c r="M413" s="245"/>
      <c r="N413" s="254">
        <f>VLOOKUP(A413,'[4]Inscripcions'!$A$7:$B$209,2)</f>
        <v>0</v>
      </c>
      <c r="O413" s="254"/>
      <c r="P413" s="254"/>
      <c r="Q413" s="254"/>
      <c r="R413" s="254"/>
      <c r="S413" s="254"/>
      <c r="T413" s="254"/>
      <c r="U413" s="254"/>
      <c r="V413" s="255"/>
      <c r="W413"/>
      <c r="X413" s="256">
        <f>IF(AA419=0,0,IF(N413=AA419,3,1))+IF(AA421=0,0,IF(N413=AA421,3,1))+IF(AA422=0,0,IF(N413=AA422,3,1))</f>
        <v>0</v>
      </c>
      <c r="Y413" s="257"/>
      <c r="Z413" s="258"/>
      <c r="AA413" s="40">
        <f>IF(X413&gt;8,"1r",IF(X413&gt;6,"2n",IF(X413&gt;3,"3r",IF(X413&gt;2,"4t",))))</f>
        <v>0</v>
      </c>
    </row>
    <row r="414" spans="1:27" ht="12.75">
      <c r="A414" s="249">
        <v>95</v>
      </c>
      <c r="B414" s="250"/>
      <c r="C414" s="251"/>
      <c r="D414" s="243"/>
      <c r="E414" s="243"/>
      <c r="F414" s="243"/>
      <c r="G414" s="243"/>
      <c r="H414" s="243"/>
      <c r="I414" s="243"/>
      <c r="J414"/>
      <c r="K414" s="244">
        <v>3</v>
      </c>
      <c r="L414" s="245"/>
      <c r="M414" s="245"/>
      <c r="N414" s="254">
        <f>VLOOKUP(A414,'[4]Inscripcions'!$A$7:$B$209,2)</f>
        <v>0</v>
      </c>
      <c r="O414" s="254"/>
      <c r="P414" s="254"/>
      <c r="Q414" s="254"/>
      <c r="R414" s="254"/>
      <c r="S414" s="254"/>
      <c r="T414" s="254"/>
      <c r="U414" s="254"/>
      <c r="V414" s="255"/>
      <c r="W414"/>
      <c r="X414" s="256">
        <f>IF(AA419=0,0,IF(N414=AA419,3,1))+IF(AA420=0,0,IF(N414=AA420,3,1))+IF(AA423=0,0,IF(N414=AA423,3,1))</f>
        <v>0</v>
      </c>
      <c r="Y414" s="257"/>
      <c r="Z414" s="258"/>
      <c r="AA414" s="40">
        <f>IF(X414&gt;8,"1r",IF(X414&gt;6,"2n",IF(X414&gt;3,"3r",IF(X414&gt;2,"4t",))))</f>
        <v>0</v>
      </c>
    </row>
    <row r="415" spans="1:27" ht="12.75">
      <c r="A415" s="249">
        <v>96</v>
      </c>
      <c r="B415" s="250"/>
      <c r="C415" s="251"/>
      <c r="D415" s="243"/>
      <c r="E415" s="243"/>
      <c r="F415" s="243"/>
      <c r="G415" s="243"/>
      <c r="H415" s="243"/>
      <c r="I415" s="243"/>
      <c r="J415"/>
      <c r="K415" s="244">
        <v>4</v>
      </c>
      <c r="L415" s="245"/>
      <c r="M415" s="245"/>
      <c r="N415" s="254">
        <f>VLOOKUP(A415,'[4]Inscripcions'!$A$7:$B$209,2)</f>
        <v>0</v>
      </c>
      <c r="O415" s="254"/>
      <c r="P415" s="254"/>
      <c r="Q415" s="254"/>
      <c r="R415" s="254"/>
      <c r="S415" s="254"/>
      <c r="T415" s="254"/>
      <c r="U415" s="254"/>
      <c r="V415" s="255"/>
      <c r="W415"/>
      <c r="X415" s="256">
        <f>IF(AA418=0,0,IF(N415=AA418,3,1))+IF(AA421=0,0,IF(N415=AA421,3,1))+IF(AA423=0,0,IF(N415=AA423,3,1))</f>
        <v>0</v>
      </c>
      <c r="Y415" s="257"/>
      <c r="Z415" s="258"/>
      <c r="AA415" s="40">
        <f>IF(X415&gt;8,"1r",IF(X415&gt;6,"2n",IF(X415&gt;3,"3r",IF(X415&gt;2,"4t",))))</f>
        <v>0</v>
      </c>
    </row>
    <row r="416" spans="1:27" ht="6.75" customHeight="1" thickBo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</row>
    <row r="417" spans="1:27" ht="13.5" customHeight="1" thickBot="1">
      <c r="A417" s="9" t="s">
        <v>11</v>
      </c>
      <c r="B417" s="9" t="s">
        <v>14</v>
      </c>
      <c r="C417" s="9" t="s">
        <v>4</v>
      </c>
      <c r="D417" s="262" t="s">
        <v>3</v>
      </c>
      <c r="E417" s="263"/>
      <c r="F417" s="264"/>
      <c r="G417" s="10"/>
      <c r="H417" s="259" t="s">
        <v>5</v>
      </c>
      <c r="I417" s="260"/>
      <c r="J417" s="261"/>
      <c r="K417" s="259" t="s">
        <v>7</v>
      </c>
      <c r="L417" s="260"/>
      <c r="M417" s="261"/>
      <c r="N417" s="259" t="s">
        <v>8</v>
      </c>
      <c r="O417" s="260"/>
      <c r="P417" s="261"/>
      <c r="Q417" s="259" t="s">
        <v>9</v>
      </c>
      <c r="R417" s="260"/>
      <c r="S417" s="261"/>
      <c r="T417" s="259" t="s">
        <v>10</v>
      </c>
      <c r="U417" s="260"/>
      <c r="V417" s="261"/>
      <c r="W417" s="10"/>
      <c r="X417" s="259" t="s">
        <v>12</v>
      </c>
      <c r="Y417" s="260"/>
      <c r="Z417" s="261"/>
      <c r="AA417" s="9" t="s">
        <v>13</v>
      </c>
    </row>
    <row r="418" spans="1:27" ht="13.5" customHeight="1" thickBot="1">
      <c r="A418" s="11">
        <v>0.4166666666666667</v>
      </c>
      <c r="B418" s="29" t="s">
        <v>44</v>
      </c>
      <c r="C418" s="12">
        <v>3</v>
      </c>
      <c r="D418" s="13">
        <v>1</v>
      </c>
      <c r="E418" s="14" t="s">
        <v>6</v>
      </c>
      <c r="F418" s="15">
        <v>4</v>
      </c>
      <c r="G418" s="10"/>
      <c r="H418" s="95"/>
      <c r="I418" s="74"/>
      <c r="J418" s="96"/>
      <c r="K418" s="95"/>
      <c r="L418" s="74"/>
      <c r="M418" s="96"/>
      <c r="N418" s="95"/>
      <c r="O418" s="74"/>
      <c r="P418" s="96"/>
      <c r="Q418" s="26"/>
      <c r="R418" s="16"/>
      <c r="S418" s="23"/>
      <c r="T418" s="26"/>
      <c r="U418" s="16" t="s">
        <v>6</v>
      </c>
      <c r="V418" s="23"/>
      <c r="W418" s="10"/>
      <c r="X418" s="31">
        <f aca="true" t="shared" si="44" ref="X418:X423">IF(H418&gt;J418,1,0)+IF(K418&gt;M418,1,0)+IF(N418&gt;P418,1,0)+IF(Q418&gt;S418,1,0)+IF(T418&gt;V418,1,0)</f>
        <v>0</v>
      </c>
      <c r="Y418" s="16" t="s">
        <v>6</v>
      </c>
      <c r="Z418" s="33">
        <f aca="true" t="shared" si="45" ref="Z418:Z423">IF(H418&lt;J418,1,0)+IF(K418&lt;M418,1,0)+IF(N418&lt;P418,1,0)+IF(Q418&lt;S418,1,0)+IF(T418&lt;V418,1,0)</f>
        <v>0</v>
      </c>
      <c r="AA418" s="36">
        <f>IF(X418&gt;Z418,N412,IF(X418&lt;Z418,N415,0))</f>
        <v>0</v>
      </c>
    </row>
    <row r="419" spans="1:27" ht="13.5" customHeight="1" thickBot="1">
      <c r="A419" s="7">
        <v>0.4305555555555556</v>
      </c>
      <c r="B419" s="30" t="s">
        <v>44</v>
      </c>
      <c r="C419" s="6">
        <v>1</v>
      </c>
      <c r="D419" s="3">
        <v>2</v>
      </c>
      <c r="E419" s="4" t="s">
        <v>6</v>
      </c>
      <c r="F419" s="5">
        <v>3</v>
      </c>
      <c r="G419"/>
      <c r="H419" s="95"/>
      <c r="I419" s="74"/>
      <c r="J419" s="96"/>
      <c r="K419" s="95"/>
      <c r="L419" s="74"/>
      <c r="M419" s="96"/>
      <c r="N419" s="95"/>
      <c r="O419" s="74"/>
      <c r="P419" s="96"/>
      <c r="Q419" s="27"/>
      <c r="R419" s="2"/>
      <c r="S419" s="24"/>
      <c r="T419" s="27"/>
      <c r="U419" s="2" t="s">
        <v>6</v>
      </c>
      <c r="V419" s="24"/>
      <c r="W419" s="1"/>
      <c r="X419" s="31">
        <f t="shared" si="44"/>
        <v>0</v>
      </c>
      <c r="Y419" s="2" t="s">
        <v>6</v>
      </c>
      <c r="Z419" s="33">
        <f t="shared" si="45"/>
        <v>0</v>
      </c>
      <c r="AA419" s="37">
        <f>IF(X419&gt;Z419,N413,IF(X419&lt;Z419,N414,0))</f>
        <v>0</v>
      </c>
    </row>
    <row r="420" spans="1:27" ht="13.5" customHeight="1" thickBot="1">
      <c r="A420" s="11">
        <v>0.4444444444444444</v>
      </c>
      <c r="B420" s="29" t="s">
        <v>44</v>
      </c>
      <c r="C420" s="12">
        <v>4</v>
      </c>
      <c r="D420" s="13">
        <v>1</v>
      </c>
      <c r="E420" s="14" t="s">
        <v>6</v>
      </c>
      <c r="F420" s="15">
        <v>3</v>
      </c>
      <c r="G420" s="10"/>
      <c r="H420" s="95"/>
      <c r="I420" s="74"/>
      <c r="J420" s="96"/>
      <c r="K420" s="95"/>
      <c r="L420" s="74"/>
      <c r="M420" s="96"/>
      <c r="N420" s="95"/>
      <c r="O420" s="74"/>
      <c r="P420" s="96"/>
      <c r="Q420" s="26"/>
      <c r="R420" s="16"/>
      <c r="S420" s="23"/>
      <c r="T420" s="26"/>
      <c r="U420" s="16" t="s">
        <v>6</v>
      </c>
      <c r="V420" s="23"/>
      <c r="W420" s="10"/>
      <c r="X420" s="31">
        <f t="shared" si="44"/>
        <v>0</v>
      </c>
      <c r="Y420" s="16" t="s">
        <v>6</v>
      </c>
      <c r="Z420" s="33">
        <f t="shared" si="45"/>
        <v>0</v>
      </c>
      <c r="AA420" s="36">
        <f>IF(X420&gt;Z420,N412,IF(X420&lt;Z420,N414,0))</f>
        <v>0</v>
      </c>
    </row>
    <row r="421" spans="1:27" ht="13.5" customHeight="1" thickBot="1">
      <c r="A421" s="7">
        <v>0.4583333333333333</v>
      </c>
      <c r="B421" s="30" t="s">
        <v>44</v>
      </c>
      <c r="C421" s="6">
        <v>3</v>
      </c>
      <c r="D421" s="3">
        <v>2</v>
      </c>
      <c r="E421" s="4" t="s">
        <v>6</v>
      </c>
      <c r="F421" s="5">
        <v>4</v>
      </c>
      <c r="G421"/>
      <c r="H421" s="95"/>
      <c r="I421" s="74"/>
      <c r="J421" s="96"/>
      <c r="K421" s="95"/>
      <c r="L421" s="74"/>
      <c r="M421" s="96"/>
      <c r="N421" s="95"/>
      <c r="O421" s="74"/>
      <c r="P421" s="96"/>
      <c r="Q421" s="27"/>
      <c r="R421" s="2"/>
      <c r="S421" s="24"/>
      <c r="T421" s="27"/>
      <c r="U421" s="2" t="s">
        <v>6</v>
      </c>
      <c r="V421" s="24"/>
      <c r="W421" s="1"/>
      <c r="X421" s="31">
        <f t="shared" si="44"/>
        <v>0</v>
      </c>
      <c r="Y421" s="2" t="s">
        <v>6</v>
      </c>
      <c r="Z421" s="33">
        <f t="shared" si="45"/>
        <v>0</v>
      </c>
      <c r="AA421" s="37">
        <f>IF(X421&gt;Z421,N413,IF(X421&lt;Z421,N415,0))</f>
        <v>0</v>
      </c>
    </row>
    <row r="422" spans="1:27" ht="13.5" customHeight="1" thickBot="1">
      <c r="A422" s="11">
        <v>0.47222222222222227</v>
      </c>
      <c r="B422" s="29" t="s">
        <v>44</v>
      </c>
      <c r="C422" s="12">
        <v>4</v>
      </c>
      <c r="D422" s="13">
        <v>1</v>
      </c>
      <c r="E422" s="14" t="s">
        <v>6</v>
      </c>
      <c r="F422" s="15">
        <v>2</v>
      </c>
      <c r="G422" s="10"/>
      <c r="H422" s="95"/>
      <c r="I422" s="74"/>
      <c r="J422" s="96"/>
      <c r="K422" s="95"/>
      <c r="L422" s="74"/>
      <c r="M422" s="96"/>
      <c r="N422" s="95"/>
      <c r="O422" s="74"/>
      <c r="P422" s="96"/>
      <c r="Q422" s="26"/>
      <c r="R422" s="16"/>
      <c r="S422" s="23"/>
      <c r="T422" s="26"/>
      <c r="U422" s="16" t="s">
        <v>6</v>
      </c>
      <c r="V422" s="23"/>
      <c r="W422" s="10"/>
      <c r="X422" s="31">
        <f t="shared" si="44"/>
        <v>0</v>
      </c>
      <c r="Y422" s="16" t="s">
        <v>6</v>
      </c>
      <c r="Z422" s="33">
        <f t="shared" si="45"/>
        <v>0</v>
      </c>
      <c r="AA422" s="36">
        <f>IF(X422&gt;Z422,N412,IF(X422&lt;Z422,N413,0))</f>
        <v>0</v>
      </c>
    </row>
    <row r="423" spans="1:27" ht="13.5" customHeight="1" thickBot="1">
      <c r="A423" s="7">
        <v>0.4861111111111111</v>
      </c>
      <c r="B423" s="30" t="s">
        <v>44</v>
      </c>
      <c r="C423" s="6">
        <v>2</v>
      </c>
      <c r="D423" s="3">
        <v>3</v>
      </c>
      <c r="E423" s="4" t="s">
        <v>6</v>
      </c>
      <c r="F423" s="5">
        <v>4</v>
      </c>
      <c r="G423"/>
      <c r="H423" s="95"/>
      <c r="I423" s="74"/>
      <c r="J423" s="96"/>
      <c r="K423" s="95"/>
      <c r="L423" s="74"/>
      <c r="M423" s="96"/>
      <c r="N423" s="95"/>
      <c r="O423" s="74"/>
      <c r="P423" s="96"/>
      <c r="Q423" s="28"/>
      <c r="R423" s="67"/>
      <c r="S423" s="25"/>
      <c r="T423" s="28"/>
      <c r="U423" s="67" t="s">
        <v>6</v>
      </c>
      <c r="V423" s="25"/>
      <c r="W423" s="1"/>
      <c r="X423" s="34">
        <f t="shared" si="44"/>
        <v>0</v>
      </c>
      <c r="Y423" s="67" t="s">
        <v>6</v>
      </c>
      <c r="Z423" s="35">
        <f t="shared" si="45"/>
        <v>0</v>
      </c>
      <c r="AA423" s="38">
        <f>IF(X423&gt;Z423,N414,IF(X423&lt;Z423,N415,0))</f>
        <v>0</v>
      </c>
    </row>
    <row r="424" spans="1:27" ht="13.5" thickBo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6.75" customHeight="1" thickBot="1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</row>
    <row r="426" spans="1:27" ht="13.5" thickBot="1">
      <c r="A426" s="22" t="s">
        <v>36</v>
      </c>
      <c r="B426" s="5">
        <v>25</v>
      </c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6.75" customHeight="1" thickBo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3.5" thickBot="1">
      <c r="A428" s="240" t="s">
        <v>0</v>
      </c>
      <c r="B428" s="241"/>
      <c r="C428" s="242"/>
      <c r="D428" s="243"/>
      <c r="E428" s="243"/>
      <c r="F428"/>
      <c r="G428"/>
      <c r="H428"/>
      <c r="I428"/>
      <c r="J428"/>
      <c r="K428" s="240" t="s">
        <v>2</v>
      </c>
      <c r="L428" s="241"/>
      <c r="M428" s="241"/>
      <c r="N428" s="241" t="s">
        <v>1</v>
      </c>
      <c r="O428" s="241"/>
      <c r="P428" s="241"/>
      <c r="Q428" s="241"/>
      <c r="R428" s="241"/>
      <c r="S428" s="241"/>
      <c r="T428" s="241"/>
      <c r="U428" s="241"/>
      <c r="V428" s="242"/>
      <c r="W428"/>
      <c r="X428" s="246" t="s">
        <v>35</v>
      </c>
      <c r="Y428" s="247"/>
      <c r="Z428" s="248"/>
      <c r="AA428" s="12" t="s">
        <v>38</v>
      </c>
    </row>
    <row r="429" spans="1:27" ht="12.75">
      <c r="A429" s="249">
        <v>97</v>
      </c>
      <c r="B429" s="250"/>
      <c r="C429" s="251"/>
      <c r="D429" s="243"/>
      <c r="E429" s="243"/>
      <c r="F429" s="243"/>
      <c r="G429" s="243"/>
      <c r="H429" s="243"/>
      <c r="I429" s="243"/>
      <c r="J429"/>
      <c r="K429" s="252">
        <v>1</v>
      </c>
      <c r="L429" s="253"/>
      <c r="M429" s="253"/>
      <c r="N429" s="254">
        <f>VLOOKUP(A429,'[4]Inscripcions'!$A$7:$B$209,2)</f>
        <v>0</v>
      </c>
      <c r="O429" s="254"/>
      <c r="P429" s="254"/>
      <c r="Q429" s="254"/>
      <c r="R429" s="254"/>
      <c r="S429" s="254"/>
      <c r="T429" s="254"/>
      <c r="U429" s="254"/>
      <c r="V429" s="255"/>
      <c r="W429"/>
      <c r="X429" s="256">
        <f>IF(AA435=0,0,IF(N429=AA435,3,1))+IF(AA437=0,0,IF(N429=AA437,3,1))+IF(AA439=0,0,IF(N429=AA439,3,1))</f>
        <v>0</v>
      </c>
      <c r="Y429" s="257"/>
      <c r="Z429" s="258"/>
      <c r="AA429" s="39">
        <f>IF(X429&gt;8,"1r",IF(X429&gt;6,"2n",IF(X429&gt;3,"3r",IF(X429&gt;2,"4t",))))</f>
        <v>0</v>
      </c>
    </row>
    <row r="430" spans="1:27" ht="12.75">
      <c r="A430" s="249">
        <v>98</v>
      </c>
      <c r="B430" s="250"/>
      <c r="C430" s="251"/>
      <c r="D430" s="243"/>
      <c r="E430" s="243"/>
      <c r="F430" s="243"/>
      <c r="G430" s="243"/>
      <c r="H430" s="243"/>
      <c r="I430" s="243"/>
      <c r="J430"/>
      <c r="K430" s="244">
        <v>2</v>
      </c>
      <c r="L430" s="245"/>
      <c r="M430" s="245"/>
      <c r="N430" s="254">
        <f>VLOOKUP(A430,'[4]Inscripcions'!$A$7:$B$209,2)</f>
        <v>0</v>
      </c>
      <c r="O430" s="254"/>
      <c r="P430" s="254"/>
      <c r="Q430" s="254"/>
      <c r="R430" s="254"/>
      <c r="S430" s="254"/>
      <c r="T430" s="254"/>
      <c r="U430" s="254"/>
      <c r="V430" s="255"/>
      <c r="W430"/>
      <c r="X430" s="256">
        <f>IF(AA436=0,0,IF(N430=AA436,3,1))+IF(AA438=0,0,IF(N430=AA438,3,1))+IF(AA439=0,0,IF(N430=AA439,3,1))</f>
        <v>0</v>
      </c>
      <c r="Y430" s="257"/>
      <c r="Z430" s="258"/>
      <c r="AA430" s="40">
        <f>IF(X430&gt;8,"1r",IF(X430&gt;6,"2n",IF(X430&gt;3,"3r",IF(X430&gt;2,"4t",))))</f>
        <v>0</v>
      </c>
    </row>
    <row r="431" spans="1:27" ht="12.75">
      <c r="A431" s="249">
        <v>99</v>
      </c>
      <c r="B431" s="250"/>
      <c r="C431" s="251"/>
      <c r="D431" s="243"/>
      <c r="E431" s="243"/>
      <c r="F431" s="243"/>
      <c r="G431" s="243"/>
      <c r="H431" s="243"/>
      <c r="I431" s="243"/>
      <c r="J431"/>
      <c r="K431" s="244">
        <v>3</v>
      </c>
      <c r="L431" s="245"/>
      <c r="M431" s="245"/>
      <c r="N431" s="254">
        <f>VLOOKUP(A431,'[4]Inscripcions'!$A$7:$B$209,2)</f>
        <v>0</v>
      </c>
      <c r="O431" s="254"/>
      <c r="P431" s="254"/>
      <c r="Q431" s="254"/>
      <c r="R431" s="254"/>
      <c r="S431" s="254"/>
      <c r="T431" s="254"/>
      <c r="U431" s="254"/>
      <c r="V431" s="255"/>
      <c r="W431"/>
      <c r="X431" s="256">
        <f>IF(AA436=0,0,IF(N431=AA436,3,1))+IF(AA437=0,0,IF(N431=AA437,3,1))+IF(AA440=0,0,IF(N431=AA440,3,1))</f>
        <v>0</v>
      </c>
      <c r="Y431" s="257"/>
      <c r="Z431" s="258"/>
      <c r="AA431" s="40">
        <f>IF(X431&gt;8,"1r",IF(X431&gt;6,"2n",IF(X431&gt;3,"3r",IF(X431&gt;2,"4t",))))</f>
        <v>0</v>
      </c>
    </row>
    <row r="432" spans="1:27" ht="12.75">
      <c r="A432" s="249">
        <v>100</v>
      </c>
      <c r="B432" s="250"/>
      <c r="C432" s="251"/>
      <c r="D432" s="243"/>
      <c r="E432" s="243"/>
      <c r="F432" s="243"/>
      <c r="G432" s="243"/>
      <c r="H432" s="243"/>
      <c r="I432" s="243"/>
      <c r="J432"/>
      <c r="K432" s="244">
        <v>4</v>
      </c>
      <c r="L432" s="245"/>
      <c r="M432" s="245"/>
      <c r="N432" s="254">
        <f>VLOOKUP(A432,'[4]Inscripcions'!$A$7:$B$209,2)</f>
        <v>0</v>
      </c>
      <c r="O432" s="254"/>
      <c r="P432" s="254"/>
      <c r="Q432" s="254"/>
      <c r="R432" s="254"/>
      <c r="S432" s="254"/>
      <c r="T432" s="254"/>
      <c r="U432" s="254"/>
      <c r="V432" s="255"/>
      <c r="W432"/>
      <c r="X432" s="256">
        <f>IF(AA435=0,0,IF(N432=AA435,3,1))+IF(AA438=0,0,IF(N432=AA438,3,1))+IF(AA440=0,0,IF(N432=AA440,3,1))</f>
        <v>0</v>
      </c>
      <c r="Y432" s="257"/>
      <c r="Z432" s="258"/>
      <c r="AA432" s="40">
        <f>IF(X432&gt;8,"1r",IF(X432&gt;6,"2n",IF(X432&gt;3,"3r",IF(X432&gt;2,"4t",))))</f>
        <v>0</v>
      </c>
    </row>
    <row r="433" spans="1:27" ht="6.75" customHeight="1" thickBo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3.5" customHeight="1" thickBot="1">
      <c r="A434" s="9" t="s">
        <v>11</v>
      </c>
      <c r="B434" s="9" t="s">
        <v>14</v>
      </c>
      <c r="C434" s="9" t="s">
        <v>4</v>
      </c>
      <c r="D434" s="262" t="s">
        <v>3</v>
      </c>
      <c r="E434" s="263"/>
      <c r="F434" s="264"/>
      <c r="G434" s="10"/>
      <c r="H434" s="259" t="s">
        <v>5</v>
      </c>
      <c r="I434" s="260"/>
      <c r="J434" s="261"/>
      <c r="K434" s="259" t="s">
        <v>7</v>
      </c>
      <c r="L434" s="260"/>
      <c r="M434" s="261"/>
      <c r="N434" s="259" t="s">
        <v>8</v>
      </c>
      <c r="O434" s="260"/>
      <c r="P434" s="261"/>
      <c r="Q434" s="259" t="s">
        <v>9</v>
      </c>
      <c r="R434" s="260"/>
      <c r="S434" s="261"/>
      <c r="T434" s="259" t="s">
        <v>10</v>
      </c>
      <c r="U434" s="260"/>
      <c r="V434" s="261"/>
      <c r="W434" s="10"/>
      <c r="X434" s="259" t="s">
        <v>12</v>
      </c>
      <c r="Y434" s="260"/>
      <c r="Z434" s="261"/>
      <c r="AA434" s="9" t="s">
        <v>13</v>
      </c>
    </row>
    <row r="435" spans="1:27" ht="13.5" customHeight="1" thickBot="1">
      <c r="A435" s="11">
        <v>0.4166666666666667</v>
      </c>
      <c r="B435" s="29" t="s">
        <v>45</v>
      </c>
      <c r="C435" s="12">
        <v>3</v>
      </c>
      <c r="D435" s="13">
        <v>1</v>
      </c>
      <c r="E435" s="14" t="s">
        <v>6</v>
      </c>
      <c r="F435" s="15">
        <v>4</v>
      </c>
      <c r="G435" s="10"/>
      <c r="H435" s="95">
        <v>2</v>
      </c>
      <c r="I435" s="74"/>
      <c r="J435" s="96">
        <v>11</v>
      </c>
      <c r="K435" s="95">
        <v>4</v>
      </c>
      <c r="L435" s="74"/>
      <c r="M435" s="96">
        <v>11</v>
      </c>
      <c r="N435" s="95">
        <v>3</v>
      </c>
      <c r="O435" s="74"/>
      <c r="P435" s="96">
        <v>11</v>
      </c>
      <c r="Q435" s="26"/>
      <c r="R435" s="16" t="s">
        <v>6</v>
      </c>
      <c r="S435" s="23"/>
      <c r="T435" s="26"/>
      <c r="U435" s="16" t="s">
        <v>6</v>
      </c>
      <c r="V435" s="23"/>
      <c r="W435" s="10"/>
      <c r="X435" s="31">
        <f aca="true" t="shared" si="46" ref="X435:X440">IF(H435&gt;J435,1,0)+IF(K435&gt;M435,1,0)+IF(N435&gt;P435,1,0)+IF(Q435&gt;S435,1,0)+IF(T435&gt;V435,1,0)</f>
        <v>0</v>
      </c>
      <c r="Y435" s="16" t="s">
        <v>6</v>
      </c>
      <c r="Z435" s="33">
        <f aca="true" t="shared" si="47" ref="Z435:Z440">IF(H435&lt;J435,1,0)+IF(K435&lt;M435,1,0)+IF(N435&lt;P435,1,0)+IF(Q435&lt;S435,1,0)+IF(T435&lt;V435,1,0)</f>
        <v>3</v>
      </c>
      <c r="AA435" s="36">
        <f>IF(X435&gt;Z435,N429,IF(X435&lt;Z435,N432,0))</f>
        <v>0</v>
      </c>
    </row>
    <row r="436" spans="1:27" ht="13.5" customHeight="1" thickBot="1">
      <c r="A436" s="7">
        <v>0.4305555555555556</v>
      </c>
      <c r="B436" s="30" t="s">
        <v>45</v>
      </c>
      <c r="C436" s="6">
        <v>1</v>
      </c>
      <c r="D436" s="3">
        <v>2</v>
      </c>
      <c r="E436" s="4" t="s">
        <v>6</v>
      </c>
      <c r="F436" s="5">
        <v>3</v>
      </c>
      <c r="G436"/>
      <c r="H436" s="95">
        <v>11</v>
      </c>
      <c r="I436" s="74"/>
      <c r="J436" s="96">
        <v>7</v>
      </c>
      <c r="K436" s="95">
        <v>11</v>
      </c>
      <c r="L436" s="74"/>
      <c r="M436" s="96">
        <v>9</v>
      </c>
      <c r="N436" s="95">
        <v>11</v>
      </c>
      <c r="O436" s="74"/>
      <c r="P436" s="96">
        <v>4</v>
      </c>
      <c r="Q436" s="27"/>
      <c r="R436" s="2" t="s">
        <v>6</v>
      </c>
      <c r="S436" s="24"/>
      <c r="T436" s="27"/>
      <c r="U436" s="2" t="s">
        <v>6</v>
      </c>
      <c r="V436" s="24"/>
      <c r="W436" s="1"/>
      <c r="X436" s="31">
        <f t="shared" si="46"/>
        <v>3</v>
      </c>
      <c r="Y436" s="2" t="s">
        <v>6</v>
      </c>
      <c r="Z436" s="33">
        <f t="shared" si="47"/>
        <v>0</v>
      </c>
      <c r="AA436" s="37">
        <f>IF(X436&gt;Z436,N430,IF(X436&lt;Z436,N431,0))</f>
        <v>0</v>
      </c>
    </row>
    <row r="437" spans="1:27" ht="13.5" customHeight="1" thickBot="1">
      <c r="A437" s="11">
        <v>0.4444444444444444</v>
      </c>
      <c r="B437" s="29" t="s">
        <v>45</v>
      </c>
      <c r="C437" s="12">
        <v>4</v>
      </c>
      <c r="D437" s="13">
        <v>1</v>
      </c>
      <c r="E437" s="14" t="s">
        <v>6</v>
      </c>
      <c r="F437" s="15">
        <v>3</v>
      </c>
      <c r="G437" s="10"/>
      <c r="H437" s="95">
        <v>11</v>
      </c>
      <c r="I437" s="74"/>
      <c r="J437" s="96">
        <v>13</v>
      </c>
      <c r="K437" s="95">
        <v>9</v>
      </c>
      <c r="L437" s="74"/>
      <c r="M437" s="96">
        <v>11</v>
      </c>
      <c r="N437" s="95">
        <v>11</v>
      </c>
      <c r="O437" s="74"/>
      <c r="P437" s="96">
        <v>8</v>
      </c>
      <c r="Q437" s="26">
        <v>11</v>
      </c>
      <c r="R437" s="16" t="s">
        <v>6</v>
      </c>
      <c r="S437" s="23">
        <v>9</v>
      </c>
      <c r="T437" s="26">
        <v>9</v>
      </c>
      <c r="U437" s="16" t="s">
        <v>6</v>
      </c>
      <c r="V437" s="23">
        <v>11</v>
      </c>
      <c r="W437" s="10"/>
      <c r="X437" s="31">
        <f t="shared" si="46"/>
        <v>2</v>
      </c>
      <c r="Y437" s="16" t="s">
        <v>6</v>
      </c>
      <c r="Z437" s="33">
        <f t="shared" si="47"/>
        <v>3</v>
      </c>
      <c r="AA437" s="36">
        <f>IF(X437&gt;Z437,N429,IF(X437&lt;Z437,N431,0))</f>
        <v>0</v>
      </c>
    </row>
    <row r="438" spans="1:27" ht="13.5" customHeight="1" thickBot="1">
      <c r="A438" s="7">
        <v>0.4583333333333333</v>
      </c>
      <c r="B438" s="30" t="s">
        <v>45</v>
      </c>
      <c r="C438" s="6">
        <v>3</v>
      </c>
      <c r="D438" s="3">
        <v>2</v>
      </c>
      <c r="E438" s="4" t="s">
        <v>6</v>
      </c>
      <c r="F438" s="5">
        <v>4</v>
      </c>
      <c r="G438"/>
      <c r="H438" s="95">
        <v>11</v>
      </c>
      <c r="I438" s="74"/>
      <c r="J438" s="96">
        <v>4</v>
      </c>
      <c r="K438" s="95">
        <v>8</v>
      </c>
      <c r="L438" s="74"/>
      <c r="M438" s="96">
        <v>11</v>
      </c>
      <c r="N438" s="95">
        <v>11</v>
      </c>
      <c r="O438" s="74"/>
      <c r="P438" s="96">
        <v>7</v>
      </c>
      <c r="Q438" s="27">
        <v>12</v>
      </c>
      <c r="R438" s="2" t="s">
        <v>6</v>
      </c>
      <c r="S438" s="24">
        <v>14</v>
      </c>
      <c r="T438" s="27">
        <v>9</v>
      </c>
      <c r="U438" s="2" t="s">
        <v>6</v>
      </c>
      <c r="V438" s="24">
        <v>11</v>
      </c>
      <c r="W438" s="1"/>
      <c r="X438" s="31">
        <f t="shared" si="46"/>
        <v>2</v>
      </c>
      <c r="Y438" s="2" t="s">
        <v>6</v>
      </c>
      <c r="Z438" s="33">
        <f t="shared" si="47"/>
        <v>3</v>
      </c>
      <c r="AA438" s="37">
        <f>IF(X438&gt;Z438,N430,IF(X438&lt;Z438,N432,0))</f>
        <v>0</v>
      </c>
    </row>
    <row r="439" spans="1:27" ht="13.5" customHeight="1" thickBot="1">
      <c r="A439" s="11">
        <v>0.47222222222222227</v>
      </c>
      <c r="B439" s="29" t="s">
        <v>45</v>
      </c>
      <c r="C439" s="12">
        <v>4</v>
      </c>
      <c r="D439" s="13">
        <v>1</v>
      </c>
      <c r="E439" s="14" t="s">
        <v>6</v>
      </c>
      <c r="F439" s="15">
        <v>2</v>
      </c>
      <c r="G439" s="10"/>
      <c r="H439" s="95">
        <v>3</v>
      </c>
      <c r="I439" s="74"/>
      <c r="J439" s="96">
        <v>11</v>
      </c>
      <c r="K439" s="95">
        <v>8</v>
      </c>
      <c r="L439" s="74"/>
      <c r="M439" s="96">
        <v>11</v>
      </c>
      <c r="N439" s="95">
        <v>8</v>
      </c>
      <c r="O439" s="74"/>
      <c r="P439" s="96">
        <v>11</v>
      </c>
      <c r="Q439" s="26"/>
      <c r="R439" s="16" t="s">
        <v>6</v>
      </c>
      <c r="S439" s="23"/>
      <c r="T439" s="26"/>
      <c r="U439" s="16" t="s">
        <v>6</v>
      </c>
      <c r="V439" s="23"/>
      <c r="W439" s="10"/>
      <c r="X439" s="31">
        <f t="shared" si="46"/>
        <v>0</v>
      </c>
      <c r="Y439" s="16" t="s">
        <v>6</v>
      </c>
      <c r="Z439" s="33">
        <f t="shared" si="47"/>
        <v>3</v>
      </c>
      <c r="AA439" s="36">
        <f>IF(X439&gt;Z439,N429,IF(X439&lt;Z439,N430,0))</f>
        <v>0</v>
      </c>
    </row>
    <row r="440" spans="1:27" ht="13.5" customHeight="1" thickBot="1">
      <c r="A440" s="7">
        <v>0.4861111111111111</v>
      </c>
      <c r="B440" s="30" t="s">
        <v>45</v>
      </c>
      <c r="C440" s="6">
        <v>2</v>
      </c>
      <c r="D440" s="3">
        <v>3</v>
      </c>
      <c r="E440" s="4" t="s">
        <v>6</v>
      </c>
      <c r="F440" s="5">
        <v>4</v>
      </c>
      <c r="G440"/>
      <c r="H440" s="95">
        <v>7</v>
      </c>
      <c r="I440" s="74"/>
      <c r="J440" s="96">
        <v>11</v>
      </c>
      <c r="K440" s="95">
        <v>6</v>
      </c>
      <c r="L440" s="74"/>
      <c r="M440" s="96">
        <v>11</v>
      </c>
      <c r="N440" s="95">
        <v>10</v>
      </c>
      <c r="O440" s="74"/>
      <c r="P440" s="96">
        <v>12</v>
      </c>
      <c r="Q440" s="28"/>
      <c r="R440" s="67" t="s">
        <v>6</v>
      </c>
      <c r="S440" s="25"/>
      <c r="T440" s="28"/>
      <c r="U440" s="67" t="s">
        <v>6</v>
      </c>
      <c r="V440" s="25"/>
      <c r="W440" s="1"/>
      <c r="X440" s="34">
        <f t="shared" si="46"/>
        <v>0</v>
      </c>
      <c r="Y440" s="67" t="s">
        <v>6</v>
      </c>
      <c r="Z440" s="35">
        <f t="shared" si="47"/>
        <v>3</v>
      </c>
      <c r="AA440" s="38">
        <f>IF(X440&gt;Z440,N431,IF(X440&lt;Z440,N432,0))</f>
        <v>0</v>
      </c>
    </row>
    <row r="441" spans="1:27" ht="13.5" thickBo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6.75" customHeight="1" thickBot="1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</row>
    <row r="443" spans="1:27" ht="13.5" thickBot="1">
      <c r="A443" s="22" t="s">
        <v>36</v>
      </c>
      <c r="B443" s="5">
        <v>26</v>
      </c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6.75" customHeight="1" thickBo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3.5" thickBot="1">
      <c r="A445" s="240" t="s">
        <v>0</v>
      </c>
      <c r="B445" s="241"/>
      <c r="C445" s="242"/>
      <c r="D445" s="243"/>
      <c r="E445" s="243"/>
      <c r="F445"/>
      <c r="G445"/>
      <c r="H445"/>
      <c r="I445"/>
      <c r="J445"/>
      <c r="K445" s="240" t="s">
        <v>2</v>
      </c>
      <c r="L445" s="241"/>
      <c r="M445" s="241"/>
      <c r="N445" s="241" t="s">
        <v>1</v>
      </c>
      <c r="O445" s="241"/>
      <c r="P445" s="241"/>
      <c r="Q445" s="241"/>
      <c r="R445" s="241"/>
      <c r="S445" s="241"/>
      <c r="T445" s="241"/>
      <c r="U445" s="241"/>
      <c r="V445" s="242"/>
      <c r="W445"/>
      <c r="X445" s="246" t="s">
        <v>35</v>
      </c>
      <c r="Y445" s="247"/>
      <c r="Z445" s="248"/>
      <c r="AA445" s="12" t="s">
        <v>38</v>
      </c>
    </row>
    <row r="446" spans="1:27" ht="12.75">
      <c r="A446" s="249">
        <v>101</v>
      </c>
      <c r="B446" s="250"/>
      <c r="C446" s="251"/>
      <c r="D446" s="243"/>
      <c r="E446" s="243"/>
      <c r="F446" s="243"/>
      <c r="G446" s="243"/>
      <c r="H446" s="243"/>
      <c r="I446" s="243"/>
      <c r="J446"/>
      <c r="K446" s="252">
        <v>1</v>
      </c>
      <c r="L446" s="253"/>
      <c r="M446" s="253"/>
      <c r="N446" s="254">
        <f>VLOOKUP(A446,'[4]Inscripcions'!$A$7:$B$209,2)</f>
        <v>0</v>
      </c>
      <c r="O446" s="254"/>
      <c r="P446" s="254"/>
      <c r="Q446" s="254"/>
      <c r="R446" s="254"/>
      <c r="S446" s="254"/>
      <c r="T446" s="254"/>
      <c r="U446" s="254"/>
      <c r="V446" s="255"/>
      <c r="W446"/>
      <c r="X446" s="256">
        <f>IF(AA452=0,0,IF(N446=AA452,3,1))+IF(AA454=0,0,IF(N446=AA454,3,1))+IF(AA456=0,0,IF(N446=AA456,3,1))</f>
        <v>0</v>
      </c>
      <c r="Y446" s="257"/>
      <c r="Z446" s="258"/>
      <c r="AA446" s="39">
        <f>IF(X446&gt;8,"1r",IF(X446&gt;6,"2n",IF(X446&gt;3,"3r",IF(X446&gt;2,"4t",))))</f>
        <v>0</v>
      </c>
    </row>
    <row r="447" spans="1:27" ht="12.75">
      <c r="A447" s="249">
        <v>102</v>
      </c>
      <c r="B447" s="250"/>
      <c r="C447" s="251"/>
      <c r="D447" s="243"/>
      <c r="E447" s="243"/>
      <c r="F447" s="243"/>
      <c r="G447" s="243"/>
      <c r="H447" s="243"/>
      <c r="I447" s="243"/>
      <c r="J447"/>
      <c r="K447" s="244">
        <v>2</v>
      </c>
      <c r="L447" s="245"/>
      <c r="M447" s="245"/>
      <c r="N447" s="254">
        <f>VLOOKUP(A447,'[4]Inscripcions'!$A$7:$B$209,2)</f>
        <v>0</v>
      </c>
      <c r="O447" s="254"/>
      <c r="P447" s="254"/>
      <c r="Q447" s="254"/>
      <c r="R447" s="254"/>
      <c r="S447" s="254"/>
      <c r="T447" s="254"/>
      <c r="U447" s="254"/>
      <c r="V447" s="255"/>
      <c r="W447"/>
      <c r="X447" s="256">
        <f>IF(AA453=0,0,IF(N447=AA453,3,1))+IF(AA455=0,0,IF(N447=AA455,3,1))+IF(AA456=0,0,IF(N447=AA456,3,1))</f>
        <v>0</v>
      </c>
      <c r="Y447" s="257"/>
      <c r="Z447" s="258"/>
      <c r="AA447" s="40">
        <f>IF(X447&gt;8,"1r",IF(X447&gt;6,"2n",IF(X447&gt;3,"3r",IF(X447&gt;2,"4t",))))</f>
        <v>0</v>
      </c>
    </row>
    <row r="448" spans="1:27" ht="12.75">
      <c r="A448" s="249">
        <v>103</v>
      </c>
      <c r="B448" s="250"/>
      <c r="C448" s="251"/>
      <c r="D448" s="243"/>
      <c r="E448" s="243"/>
      <c r="F448" s="243"/>
      <c r="G448" s="243"/>
      <c r="H448" s="243"/>
      <c r="I448" s="243"/>
      <c r="J448"/>
      <c r="K448" s="244">
        <v>3</v>
      </c>
      <c r="L448" s="245"/>
      <c r="M448" s="245"/>
      <c r="N448" s="254">
        <f>VLOOKUP(A448,'[4]Inscripcions'!$A$7:$B$209,2)</f>
        <v>0</v>
      </c>
      <c r="O448" s="254"/>
      <c r="P448" s="254"/>
      <c r="Q448" s="254"/>
      <c r="R448" s="254"/>
      <c r="S448" s="254"/>
      <c r="T448" s="254"/>
      <c r="U448" s="254"/>
      <c r="V448" s="255"/>
      <c r="W448"/>
      <c r="X448" s="256">
        <f>IF(AA453=0,0,IF(N448=AA453,3,1))+IF(AA454=0,0,IF(N448=AA454,3,1))+IF(AA457=0,0,IF(N448=AA457,3,1))</f>
        <v>0</v>
      </c>
      <c r="Y448" s="257"/>
      <c r="Z448" s="258"/>
      <c r="AA448" s="40">
        <f>IF(X448&gt;8,"1r",IF(X448&gt;6,"2n",IF(X448&gt;3,"3r",IF(X448&gt;2,"4t",))))</f>
        <v>0</v>
      </c>
    </row>
    <row r="449" spans="1:27" ht="12.75">
      <c r="A449" s="249">
        <v>104</v>
      </c>
      <c r="B449" s="250"/>
      <c r="C449" s="251"/>
      <c r="D449" s="243"/>
      <c r="E449" s="243"/>
      <c r="F449" s="243"/>
      <c r="G449" s="243"/>
      <c r="H449" s="243"/>
      <c r="I449" s="243"/>
      <c r="J449"/>
      <c r="K449" s="244">
        <v>4</v>
      </c>
      <c r="L449" s="245"/>
      <c r="M449" s="245"/>
      <c r="N449" s="254">
        <f>VLOOKUP(A449,'[4]Inscripcions'!$A$7:$B$209,2)</f>
        <v>0</v>
      </c>
      <c r="O449" s="254"/>
      <c r="P449" s="254"/>
      <c r="Q449" s="254"/>
      <c r="R449" s="254"/>
      <c r="S449" s="254"/>
      <c r="T449" s="254"/>
      <c r="U449" s="254"/>
      <c r="V449" s="255"/>
      <c r="W449"/>
      <c r="X449" s="256">
        <f>IF(AA452=0,0,IF(N449=AA452,3,1))+IF(AA455=0,0,IF(N449=AA455,3,1))+IF(AA457=0,0,IF(N449=AA457,3,1))</f>
        <v>0</v>
      </c>
      <c r="Y449" s="257"/>
      <c r="Z449" s="258"/>
      <c r="AA449" s="40">
        <f>IF(X449&gt;8,"1r",IF(X449&gt;6,"2n",IF(X449&gt;3,"3r",IF(X449&gt;2,"4t",))))</f>
        <v>0</v>
      </c>
    </row>
    <row r="450" spans="1:27" ht="6.75" customHeight="1" thickBo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3.5" customHeight="1" thickBot="1">
      <c r="A451" s="9" t="s">
        <v>11</v>
      </c>
      <c r="B451" s="9" t="s">
        <v>14</v>
      </c>
      <c r="C451" s="9" t="s">
        <v>4</v>
      </c>
      <c r="D451" s="262" t="s">
        <v>3</v>
      </c>
      <c r="E451" s="263"/>
      <c r="F451" s="264"/>
      <c r="G451" s="10"/>
      <c r="H451" s="259" t="s">
        <v>5</v>
      </c>
      <c r="I451" s="260"/>
      <c r="J451" s="261"/>
      <c r="K451" s="259" t="s">
        <v>7</v>
      </c>
      <c r="L451" s="260"/>
      <c r="M451" s="261"/>
      <c r="N451" s="259" t="s">
        <v>8</v>
      </c>
      <c r="O451" s="260"/>
      <c r="P451" s="261"/>
      <c r="Q451" s="259" t="s">
        <v>9</v>
      </c>
      <c r="R451" s="260"/>
      <c r="S451" s="261"/>
      <c r="T451" s="259" t="s">
        <v>10</v>
      </c>
      <c r="U451" s="260"/>
      <c r="V451" s="261"/>
      <c r="W451" s="10"/>
      <c r="X451" s="259" t="s">
        <v>12</v>
      </c>
      <c r="Y451" s="260"/>
      <c r="Z451" s="261"/>
      <c r="AA451" s="9" t="s">
        <v>13</v>
      </c>
    </row>
    <row r="452" spans="1:27" ht="13.5" customHeight="1" thickBot="1">
      <c r="A452" s="11">
        <v>0.4166666666666667</v>
      </c>
      <c r="B452" s="29" t="s">
        <v>46</v>
      </c>
      <c r="C452" s="12">
        <v>3</v>
      </c>
      <c r="D452" s="13">
        <v>1</v>
      </c>
      <c r="E452" s="14" t="s">
        <v>6</v>
      </c>
      <c r="F452" s="15">
        <v>4</v>
      </c>
      <c r="G452" s="10"/>
      <c r="H452" s="95"/>
      <c r="I452" s="74"/>
      <c r="J452" s="96"/>
      <c r="K452" s="95"/>
      <c r="L452" s="74"/>
      <c r="M452" s="96"/>
      <c r="N452" s="95"/>
      <c r="O452" s="74"/>
      <c r="P452" s="96"/>
      <c r="Q452" s="26"/>
      <c r="R452" s="16" t="s">
        <v>6</v>
      </c>
      <c r="S452" s="23"/>
      <c r="T452" s="26"/>
      <c r="U452" s="16" t="s">
        <v>6</v>
      </c>
      <c r="V452" s="23"/>
      <c r="W452" s="10"/>
      <c r="X452" s="31">
        <f aca="true" t="shared" si="48" ref="X452:X457">IF(H452&gt;J452,1,0)+IF(K452&gt;M452,1,0)+IF(N452&gt;P452,1,0)+IF(Q452&gt;S452,1,0)+IF(T452&gt;V452,1,0)</f>
        <v>0</v>
      </c>
      <c r="Y452" s="16" t="s">
        <v>6</v>
      </c>
      <c r="Z452" s="33">
        <f aca="true" t="shared" si="49" ref="Z452:Z457">IF(H452&lt;J452,1,0)+IF(K452&lt;M452,1,0)+IF(N452&lt;P452,1,0)+IF(Q452&lt;S452,1,0)+IF(T452&lt;V452,1,0)</f>
        <v>0</v>
      </c>
      <c r="AA452" s="36">
        <f>IF(X452&gt;Z452,N446,IF(X452&lt;Z452,N449,0))</f>
        <v>0</v>
      </c>
    </row>
    <row r="453" spans="1:27" ht="13.5" customHeight="1" thickBot="1">
      <c r="A453" s="7">
        <v>0.4305555555555556</v>
      </c>
      <c r="B453" s="30" t="s">
        <v>46</v>
      </c>
      <c r="C453" s="6">
        <v>1</v>
      </c>
      <c r="D453" s="3">
        <v>2</v>
      </c>
      <c r="E453" s="4" t="s">
        <v>6</v>
      </c>
      <c r="F453" s="5">
        <v>3</v>
      </c>
      <c r="G453"/>
      <c r="H453" s="95"/>
      <c r="I453" s="74"/>
      <c r="J453" s="96"/>
      <c r="K453" s="95"/>
      <c r="L453" s="74"/>
      <c r="M453" s="96"/>
      <c r="N453" s="95"/>
      <c r="O453" s="74"/>
      <c r="P453" s="96"/>
      <c r="Q453" s="27"/>
      <c r="R453" s="2" t="s">
        <v>6</v>
      </c>
      <c r="S453" s="24"/>
      <c r="T453" s="27"/>
      <c r="U453" s="2" t="s">
        <v>6</v>
      </c>
      <c r="V453" s="24"/>
      <c r="W453" s="1"/>
      <c r="X453" s="31">
        <f t="shared" si="48"/>
        <v>0</v>
      </c>
      <c r="Y453" s="2" t="s">
        <v>6</v>
      </c>
      <c r="Z453" s="33">
        <f t="shared" si="49"/>
        <v>0</v>
      </c>
      <c r="AA453" s="37">
        <f>IF(X453&gt;Z453,N447,IF(X453&lt;Z453,N448,0))</f>
        <v>0</v>
      </c>
    </row>
    <row r="454" spans="1:27" ht="13.5" customHeight="1" thickBot="1">
      <c r="A454" s="11">
        <v>0.4444444444444444</v>
      </c>
      <c r="B454" s="29" t="s">
        <v>46</v>
      </c>
      <c r="C454" s="12">
        <v>4</v>
      </c>
      <c r="D454" s="13">
        <v>1</v>
      </c>
      <c r="E454" s="14" t="s">
        <v>6</v>
      </c>
      <c r="F454" s="15">
        <v>3</v>
      </c>
      <c r="G454" s="10"/>
      <c r="H454" s="95"/>
      <c r="I454" s="74"/>
      <c r="J454" s="96"/>
      <c r="K454" s="95"/>
      <c r="L454" s="74"/>
      <c r="M454" s="96"/>
      <c r="N454" s="95"/>
      <c r="O454" s="74"/>
      <c r="P454" s="96"/>
      <c r="Q454" s="26"/>
      <c r="R454" s="16" t="s">
        <v>6</v>
      </c>
      <c r="S454" s="23"/>
      <c r="T454" s="26"/>
      <c r="U454" s="16" t="s">
        <v>6</v>
      </c>
      <c r="V454" s="23"/>
      <c r="W454" s="10"/>
      <c r="X454" s="31">
        <f t="shared" si="48"/>
        <v>0</v>
      </c>
      <c r="Y454" s="16" t="s">
        <v>6</v>
      </c>
      <c r="Z454" s="33">
        <f t="shared" si="49"/>
        <v>0</v>
      </c>
      <c r="AA454" s="36">
        <f>IF(X454&gt;Z454,N446,IF(X454&lt;Z454,N448,0))</f>
        <v>0</v>
      </c>
    </row>
    <row r="455" spans="1:27" ht="13.5" customHeight="1" thickBot="1">
      <c r="A455" s="7">
        <v>0.4583333333333333</v>
      </c>
      <c r="B455" s="30" t="s">
        <v>46</v>
      </c>
      <c r="C455" s="6">
        <v>3</v>
      </c>
      <c r="D455" s="3">
        <v>2</v>
      </c>
      <c r="E455" s="4" t="s">
        <v>6</v>
      </c>
      <c r="F455" s="5">
        <v>4</v>
      </c>
      <c r="G455"/>
      <c r="H455" s="95"/>
      <c r="I455" s="74"/>
      <c r="J455" s="96"/>
      <c r="K455" s="95"/>
      <c r="L455" s="74"/>
      <c r="M455" s="96"/>
      <c r="N455" s="95"/>
      <c r="O455" s="74"/>
      <c r="P455" s="96"/>
      <c r="Q455" s="27"/>
      <c r="R455" s="2" t="s">
        <v>6</v>
      </c>
      <c r="S455" s="24"/>
      <c r="T455" s="27"/>
      <c r="U455" s="2" t="s">
        <v>6</v>
      </c>
      <c r="V455" s="24"/>
      <c r="W455" s="1"/>
      <c r="X455" s="31">
        <f t="shared" si="48"/>
        <v>0</v>
      </c>
      <c r="Y455" s="2" t="s">
        <v>6</v>
      </c>
      <c r="Z455" s="33">
        <f t="shared" si="49"/>
        <v>0</v>
      </c>
      <c r="AA455" s="37">
        <f>IF(X455&gt;Z455,N447,IF(X455&lt;Z455,N449,0))</f>
        <v>0</v>
      </c>
    </row>
    <row r="456" spans="1:27" ht="13.5" customHeight="1" thickBot="1">
      <c r="A456" s="11">
        <v>0.47222222222222227</v>
      </c>
      <c r="B456" s="29" t="s">
        <v>46</v>
      </c>
      <c r="C456" s="12">
        <v>4</v>
      </c>
      <c r="D456" s="13">
        <v>1</v>
      </c>
      <c r="E456" s="14" t="s">
        <v>6</v>
      </c>
      <c r="F456" s="15">
        <v>2</v>
      </c>
      <c r="G456" s="10"/>
      <c r="H456" s="95"/>
      <c r="I456" s="74"/>
      <c r="J456" s="96"/>
      <c r="K456" s="95"/>
      <c r="L456" s="74"/>
      <c r="M456" s="96"/>
      <c r="N456" s="95"/>
      <c r="O456" s="74"/>
      <c r="P456" s="96"/>
      <c r="Q456" s="26"/>
      <c r="R456" s="16" t="s">
        <v>6</v>
      </c>
      <c r="S456" s="23"/>
      <c r="T456" s="26"/>
      <c r="U456" s="16" t="s">
        <v>6</v>
      </c>
      <c r="V456" s="23"/>
      <c r="W456" s="10"/>
      <c r="X456" s="31">
        <f t="shared" si="48"/>
        <v>0</v>
      </c>
      <c r="Y456" s="16" t="s">
        <v>6</v>
      </c>
      <c r="Z456" s="33">
        <f t="shared" si="49"/>
        <v>0</v>
      </c>
      <c r="AA456" s="36">
        <f>IF(X456&gt;Z456,N446,IF(X456&lt;Z456,N447,0))</f>
        <v>0</v>
      </c>
    </row>
    <row r="457" spans="1:27" ht="13.5" customHeight="1" thickBot="1">
      <c r="A457" s="7">
        <v>0.4861111111111111</v>
      </c>
      <c r="B457" s="30" t="s">
        <v>46</v>
      </c>
      <c r="C457" s="6">
        <v>2</v>
      </c>
      <c r="D457" s="3">
        <v>3</v>
      </c>
      <c r="E457" s="4" t="s">
        <v>6</v>
      </c>
      <c r="F457" s="5">
        <v>4</v>
      </c>
      <c r="G457"/>
      <c r="H457" s="95"/>
      <c r="I457" s="74"/>
      <c r="J457" s="96"/>
      <c r="K457" s="95"/>
      <c r="L457" s="74"/>
      <c r="M457" s="96"/>
      <c r="N457" s="95"/>
      <c r="O457" s="74"/>
      <c r="P457" s="96"/>
      <c r="Q457" s="28"/>
      <c r="R457" s="67" t="s">
        <v>6</v>
      </c>
      <c r="S457" s="25"/>
      <c r="T457" s="28"/>
      <c r="U457" s="67" t="s">
        <v>6</v>
      </c>
      <c r="V457" s="25"/>
      <c r="W457" s="1"/>
      <c r="X457" s="34">
        <f t="shared" si="48"/>
        <v>0</v>
      </c>
      <c r="Y457" s="67" t="s">
        <v>6</v>
      </c>
      <c r="Z457" s="35">
        <f t="shared" si="49"/>
        <v>0</v>
      </c>
      <c r="AA457" s="38">
        <f>IF(X457&gt;Z457,N448,IF(X457&lt;Z457,N449,0))</f>
        <v>0</v>
      </c>
    </row>
    <row r="458" spans="1:27" ht="13.5" thickBo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6.75" customHeight="1" thickBot="1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</row>
    <row r="460" spans="1:27" ht="13.5" thickBot="1">
      <c r="A460" s="22" t="s">
        <v>36</v>
      </c>
      <c r="B460" s="5">
        <v>27</v>
      </c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6.75" customHeight="1" thickBo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3.5" thickBot="1">
      <c r="A462" s="240" t="s">
        <v>0</v>
      </c>
      <c r="B462" s="241"/>
      <c r="C462" s="242"/>
      <c r="D462" s="243"/>
      <c r="E462" s="243"/>
      <c r="F462"/>
      <c r="G462"/>
      <c r="H462"/>
      <c r="I462"/>
      <c r="J462"/>
      <c r="K462" s="240" t="s">
        <v>2</v>
      </c>
      <c r="L462" s="241"/>
      <c r="M462" s="241"/>
      <c r="N462" s="241" t="s">
        <v>1</v>
      </c>
      <c r="O462" s="241"/>
      <c r="P462" s="241"/>
      <c r="Q462" s="241"/>
      <c r="R462" s="241"/>
      <c r="S462" s="241"/>
      <c r="T462" s="241"/>
      <c r="U462" s="241"/>
      <c r="V462" s="242"/>
      <c r="W462"/>
      <c r="X462" s="246" t="s">
        <v>35</v>
      </c>
      <c r="Y462" s="247"/>
      <c r="Z462" s="248"/>
      <c r="AA462" s="12" t="s">
        <v>38</v>
      </c>
    </row>
    <row r="463" spans="1:27" ht="12.75">
      <c r="A463" s="249">
        <v>105</v>
      </c>
      <c r="B463" s="250"/>
      <c r="C463" s="251"/>
      <c r="D463" s="243"/>
      <c r="E463" s="243"/>
      <c r="F463" s="243"/>
      <c r="G463" s="243"/>
      <c r="H463" s="243"/>
      <c r="I463" s="243"/>
      <c r="J463"/>
      <c r="K463" s="252">
        <v>1</v>
      </c>
      <c r="L463" s="253"/>
      <c r="M463" s="253"/>
      <c r="N463" s="254">
        <f>VLOOKUP(A463,'[4]Inscripcions'!$A$7:$B$209,2)</f>
        <v>0</v>
      </c>
      <c r="O463" s="254"/>
      <c r="P463" s="254"/>
      <c r="Q463" s="254"/>
      <c r="R463" s="254"/>
      <c r="S463" s="254"/>
      <c r="T463" s="254"/>
      <c r="U463" s="254"/>
      <c r="V463" s="255"/>
      <c r="W463"/>
      <c r="X463" s="256">
        <f>IF(AA469=0,0,IF(N463=AA469,3,1))+IF(AA471=0,0,IF(N463=AA471,3,1))+IF(AA473=0,0,IF(N463=AA473,3,1))</f>
        <v>0</v>
      </c>
      <c r="Y463" s="257"/>
      <c r="Z463" s="258"/>
      <c r="AA463" s="39">
        <f>IF(X463&gt;8,"1r",IF(X463&gt;6,"2n",IF(X463&gt;3,"3r",IF(X463&gt;2,"4t",))))</f>
        <v>0</v>
      </c>
    </row>
    <row r="464" spans="1:27" ht="12.75">
      <c r="A464" s="249">
        <v>106</v>
      </c>
      <c r="B464" s="250"/>
      <c r="C464" s="251"/>
      <c r="D464" s="243"/>
      <c r="E464" s="243"/>
      <c r="F464" s="243"/>
      <c r="G464" s="243"/>
      <c r="H464" s="243"/>
      <c r="I464" s="243"/>
      <c r="J464"/>
      <c r="K464" s="244">
        <v>2</v>
      </c>
      <c r="L464" s="245"/>
      <c r="M464" s="245"/>
      <c r="N464" s="254">
        <f>VLOOKUP(A464,'[4]Inscripcions'!$A$7:$B$209,2)</f>
        <v>0</v>
      </c>
      <c r="O464" s="254"/>
      <c r="P464" s="254"/>
      <c r="Q464" s="254"/>
      <c r="R464" s="254"/>
      <c r="S464" s="254"/>
      <c r="T464" s="254"/>
      <c r="U464" s="254"/>
      <c r="V464" s="255"/>
      <c r="W464"/>
      <c r="X464" s="256">
        <f>IF(AA470=0,0,IF(N464=AA470,3,1))+IF(AA472=0,0,IF(N464=AA472,3,1))+IF(AA473=0,0,IF(N464=AA473,3,1))</f>
        <v>0</v>
      </c>
      <c r="Y464" s="257"/>
      <c r="Z464" s="258"/>
      <c r="AA464" s="40">
        <f>IF(X464&gt;8,"1r",IF(X464&gt;6,"2n",IF(X464&gt;3,"3r",IF(X464&gt;2,"4t",))))</f>
        <v>0</v>
      </c>
    </row>
    <row r="465" spans="1:27" ht="12.75">
      <c r="A465" s="249">
        <v>107</v>
      </c>
      <c r="B465" s="250"/>
      <c r="C465" s="251"/>
      <c r="D465" s="243"/>
      <c r="E465" s="243"/>
      <c r="F465" s="243"/>
      <c r="G465" s="243"/>
      <c r="H465" s="243"/>
      <c r="I465" s="243"/>
      <c r="J465"/>
      <c r="K465" s="244">
        <v>3</v>
      </c>
      <c r="L465" s="245"/>
      <c r="M465" s="245"/>
      <c r="N465" s="254">
        <f>VLOOKUP(A465,'[4]Inscripcions'!$A$7:$B$209,2)</f>
        <v>0</v>
      </c>
      <c r="O465" s="254"/>
      <c r="P465" s="254"/>
      <c r="Q465" s="254"/>
      <c r="R465" s="254"/>
      <c r="S465" s="254"/>
      <c r="T465" s="254"/>
      <c r="U465" s="254"/>
      <c r="V465" s="255"/>
      <c r="W465"/>
      <c r="X465" s="256">
        <f>IF(AA470=0,0,IF(N465=AA470,3,1))+IF(AA471=0,0,IF(N465=AA471,3,1))+IF(AA474=0,0,IF(N465=AA474,3,1))</f>
        <v>0</v>
      </c>
      <c r="Y465" s="257"/>
      <c r="Z465" s="258"/>
      <c r="AA465" s="40">
        <f>IF(X465&gt;8,"1r",IF(X465&gt;6,"2n",IF(X465&gt;3,"3r",IF(X465&gt;2,"4t",))))</f>
        <v>0</v>
      </c>
    </row>
    <row r="466" spans="1:27" ht="12.75">
      <c r="A466" s="249">
        <v>108</v>
      </c>
      <c r="B466" s="250"/>
      <c r="C466" s="251"/>
      <c r="D466" s="243"/>
      <c r="E466" s="243"/>
      <c r="F466" s="243"/>
      <c r="G466" s="243"/>
      <c r="H466" s="243"/>
      <c r="I466" s="243"/>
      <c r="J466"/>
      <c r="K466" s="244">
        <v>4</v>
      </c>
      <c r="L466" s="245"/>
      <c r="M466" s="245"/>
      <c r="N466" s="254">
        <f>VLOOKUP(A466,'[4]Inscripcions'!$A$7:$B$209,2)</f>
        <v>0</v>
      </c>
      <c r="O466" s="254"/>
      <c r="P466" s="254"/>
      <c r="Q466" s="254"/>
      <c r="R466" s="254"/>
      <c r="S466" s="254"/>
      <c r="T466" s="254"/>
      <c r="U466" s="254"/>
      <c r="V466" s="255"/>
      <c r="W466"/>
      <c r="X466" s="256">
        <f>IF(AA469=0,0,IF(N466=AA469,3,1))+IF(AA472=0,0,IF(N466=AA472,3,1))+IF(AA474=0,0,IF(N466=AA474,3,1))</f>
        <v>0</v>
      </c>
      <c r="Y466" s="257"/>
      <c r="Z466" s="258"/>
      <c r="AA466" s="40">
        <f>IF(X466&gt;8,"1r",IF(X466&gt;6,"2n",IF(X466&gt;3,"3r",IF(X466&gt;2,"4t",))))</f>
        <v>0</v>
      </c>
    </row>
    <row r="467" spans="1:27" ht="6.75" customHeight="1" thickBo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3.5" customHeight="1" thickBot="1">
      <c r="A468" s="9" t="s">
        <v>11</v>
      </c>
      <c r="B468" s="9" t="s">
        <v>14</v>
      </c>
      <c r="C468" s="9" t="s">
        <v>4</v>
      </c>
      <c r="D468" s="262" t="s">
        <v>3</v>
      </c>
      <c r="E468" s="263"/>
      <c r="F468" s="264"/>
      <c r="G468" s="10"/>
      <c r="H468" s="259" t="s">
        <v>5</v>
      </c>
      <c r="I468" s="260"/>
      <c r="J468" s="261"/>
      <c r="K468" s="259" t="s">
        <v>7</v>
      </c>
      <c r="L468" s="260"/>
      <c r="M468" s="261"/>
      <c r="N468" s="259" t="s">
        <v>8</v>
      </c>
      <c r="O468" s="260"/>
      <c r="P468" s="261"/>
      <c r="Q468" s="259" t="s">
        <v>9</v>
      </c>
      <c r="R468" s="260"/>
      <c r="S468" s="261"/>
      <c r="T468" s="259" t="s">
        <v>10</v>
      </c>
      <c r="U468" s="260"/>
      <c r="V468" s="261"/>
      <c r="W468" s="10"/>
      <c r="X468" s="259" t="s">
        <v>12</v>
      </c>
      <c r="Y468" s="260"/>
      <c r="Z468" s="261"/>
      <c r="AA468" s="9" t="s">
        <v>13</v>
      </c>
    </row>
    <row r="469" spans="1:27" ht="13.5" customHeight="1" thickBot="1">
      <c r="A469" s="11">
        <v>0.4166666666666667</v>
      </c>
      <c r="B469" s="29" t="s">
        <v>47</v>
      </c>
      <c r="C469" s="12">
        <v>3</v>
      </c>
      <c r="D469" s="13">
        <v>1</v>
      </c>
      <c r="E469" s="14" t="s">
        <v>6</v>
      </c>
      <c r="F469" s="15">
        <v>4</v>
      </c>
      <c r="G469" s="10"/>
      <c r="H469" s="95"/>
      <c r="I469" s="74"/>
      <c r="J469" s="96"/>
      <c r="K469" s="95"/>
      <c r="L469" s="74"/>
      <c r="M469" s="96"/>
      <c r="N469" s="95"/>
      <c r="O469" s="74"/>
      <c r="P469" s="96"/>
      <c r="Q469" s="26"/>
      <c r="R469" s="16" t="s">
        <v>6</v>
      </c>
      <c r="S469" s="23"/>
      <c r="T469" s="26"/>
      <c r="U469" s="16" t="s">
        <v>6</v>
      </c>
      <c r="V469" s="23"/>
      <c r="W469" s="10"/>
      <c r="X469" s="31">
        <f aca="true" t="shared" si="50" ref="X469:X474">IF(H469&gt;J469,1,0)+IF(K469&gt;M469,1,0)+IF(N469&gt;P469,1,0)+IF(Q469&gt;S469,1,0)+IF(T469&gt;V469,1,0)</f>
        <v>0</v>
      </c>
      <c r="Y469" s="16" t="s">
        <v>6</v>
      </c>
      <c r="Z469" s="33">
        <f aca="true" t="shared" si="51" ref="Z469:Z474">IF(H469&lt;J469,1,0)+IF(K469&lt;M469,1,0)+IF(N469&lt;P469,1,0)+IF(Q469&lt;S469,1,0)+IF(T469&lt;V469,1,0)</f>
        <v>0</v>
      </c>
      <c r="AA469" s="36">
        <f>IF(X469&gt;Z469,N463,IF(X469&lt;Z469,N466,0))</f>
        <v>0</v>
      </c>
    </row>
    <row r="470" spans="1:27" ht="13.5" customHeight="1" thickBot="1">
      <c r="A470" s="7">
        <v>0.4305555555555556</v>
      </c>
      <c r="B470" s="30" t="s">
        <v>47</v>
      </c>
      <c r="C470" s="6">
        <v>1</v>
      </c>
      <c r="D470" s="3">
        <v>2</v>
      </c>
      <c r="E470" s="4" t="s">
        <v>6</v>
      </c>
      <c r="F470" s="5">
        <v>3</v>
      </c>
      <c r="G470"/>
      <c r="H470" s="95"/>
      <c r="I470" s="74"/>
      <c r="J470" s="96"/>
      <c r="K470" s="95"/>
      <c r="L470" s="74"/>
      <c r="M470" s="96"/>
      <c r="N470" s="95"/>
      <c r="O470" s="74"/>
      <c r="P470" s="96"/>
      <c r="Q470" s="27"/>
      <c r="R470" s="2" t="s">
        <v>6</v>
      </c>
      <c r="S470" s="24"/>
      <c r="T470" s="27"/>
      <c r="U470" s="2" t="s">
        <v>6</v>
      </c>
      <c r="V470" s="24"/>
      <c r="W470" s="1"/>
      <c r="X470" s="31">
        <f t="shared" si="50"/>
        <v>0</v>
      </c>
      <c r="Y470" s="2" t="s">
        <v>6</v>
      </c>
      <c r="Z470" s="33">
        <f t="shared" si="51"/>
        <v>0</v>
      </c>
      <c r="AA470" s="37">
        <f>IF(X470&gt;Z470,N464,IF(X470&lt;Z470,N465,0))</f>
        <v>0</v>
      </c>
    </row>
    <row r="471" spans="1:27" ht="13.5" customHeight="1" thickBot="1">
      <c r="A471" s="11">
        <v>0.4444444444444444</v>
      </c>
      <c r="B471" s="29" t="s">
        <v>47</v>
      </c>
      <c r="C471" s="12">
        <v>4</v>
      </c>
      <c r="D471" s="13">
        <v>1</v>
      </c>
      <c r="E471" s="14" t="s">
        <v>6</v>
      </c>
      <c r="F471" s="15">
        <v>3</v>
      </c>
      <c r="G471" s="10"/>
      <c r="H471" s="95"/>
      <c r="I471" s="74"/>
      <c r="J471" s="96"/>
      <c r="K471" s="95"/>
      <c r="L471" s="74"/>
      <c r="M471" s="96"/>
      <c r="N471" s="95"/>
      <c r="O471" s="74"/>
      <c r="P471" s="96"/>
      <c r="Q471" s="26"/>
      <c r="R471" s="16" t="s">
        <v>6</v>
      </c>
      <c r="S471" s="23"/>
      <c r="T471" s="26"/>
      <c r="U471" s="16" t="s">
        <v>6</v>
      </c>
      <c r="V471" s="23"/>
      <c r="W471" s="10"/>
      <c r="X471" s="31">
        <f t="shared" si="50"/>
        <v>0</v>
      </c>
      <c r="Y471" s="16" t="s">
        <v>6</v>
      </c>
      <c r="Z471" s="33">
        <f t="shared" si="51"/>
        <v>0</v>
      </c>
      <c r="AA471" s="36">
        <f>IF(X471&gt;Z471,N463,IF(X471&lt;Z471,N465,0))</f>
        <v>0</v>
      </c>
    </row>
    <row r="472" spans="1:27" ht="13.5" customHeight="1" thickBot="1">
      <c r="A472" s="7">
        <v>0.4583333333333333</v>
      </c>
      <c r="B472" s="30" t="s">
        <v>47</v>
      </c>
      <c r="C472" s="6">
        <v>3</v>
      </c>
      <c r="D472" s="3">
        <v>2</v>
      </c>
      <c r="E472" s="4" t="s">
        <v>6</v>
      </c>
      <c r="F472" s="5">
        <v>4</v>
      </c>
      <c r="G472"/>
      <c r="H472" s="95"/>
      <c r="I472" s="74"/>
      <c r="J472" s="96"/>
      <c r="K472" s="95"/>
      <c r="L472" s="74"/>
      <c r="M472" s="96"/>
      <c r="N472" s="95"/>
      <c r="O472" s="74"/>
      <c r="P472" s="96"/>
      <c r="Q472" s="27"/>
      <c r="R472" s="2" t="s">
        <v>6</v>
      </c>
      <c r="S472" s="24"/>
      <c r="T472" s="27"/>
      <c r="U472" s="2" t="s">
        <v>6</v>
      </c>
      <c r="V472" s="24"/>
      <c r="W472" s="1"/>
      <c r="X472" s="31">
        <f t="shared" si="50"/>
        <v>0</v>
      </c>
      <c r="Y472" s="2" t="s">
        <v>6</v>
      </c>
      <c r="Z472" s="33">
        <f t="shared" si="51"/>
        <v>0</v>
      </c>
      <c r="AA472" s="37">
        <f>IF(X472&gt;Z472,N464,IF(X472&lt;Z472,N466,0))</f>
        <v>0</v>
      </c>
    </row>
    <row r="473" spans="1:27" ht="13.5" customHeight="1" thickBot="1">
      <c r="A473" s="11">
        <v>0.47222222222222227</v>
      </c>
      <c r="B473" s="29" t="s">
        <v>47</v>
      </c>
      <c r="C473" s="12">
        <v>4</v>
      </c>
      <c r="D473" s="13">
        <v>1</v>
      </c>
      <c r="E473" s="14" t="s">
        <v>6</v>
      </c>
      <c r="F473" s="15">
        <v>2</v>
      </c>
      <c r="G473" s="10"/>
      <c r="H473" s="95"/>
      <c r="I473" s="74"/>
      <c r="J473" s="96"/>
      <c r="K473" s="95"/>
      <c r="L473" s="74"/>
      <c r="M473" s="96"/>
      <c r="N473" s="95"/>
      <c r="O473" s="74"/>
      <c r="P473" s="96"/>
      <c r="Q473" s="26"/>
      <c r="R473" s="16" t="s">
        <v>6</v>
      </c>
      <c r="S473" s="23"/>
      <c r="T473" s="26"/>
      <c r="U473" s="16" t="s">
        <v>6</v>
      </c>
      <c r="V473" s="23"/>
      <c r="W473" s="10"/>
      <c r="X473" s="31">
        <f t="shared" si="50"/>
        <v>0</v>
      </c>
      <c r="Y473" s="16" t="s">
        <v>6</v>
      </c>
      <c r="Z473" s="33">
        <f t="shared" si="51"/>
        <v>0</v>
      </c>
      <c r="AA473" s="36">
        <f>IF(X473&gt;Z473,N463,IF(X473&lt;Z473,N464,0))</f>
        <v>0</v>
      </c>
    </row>
    <row r="474" spans="1:27" ht="13.5" customHeight="1" thickBot="1">
      <c r="A474" s="7">
        <v>0.4861111111111111</v>
      </c>
      <c r="B474" s="30" t="s">
        <v>47</v>
      </c>
      <c r="C474" s="6">
        <v>2</v>
      </c>
      <c r="D474" s="3">
        <v>3</v>
      </c>
      <c r="E474" s="4" t="s">
        <v>6</v>
      </c>
      <c r="F474" s="5">
        <v>4</v>
      </c>
      <c r="G474"/>
      <c r="H474" s="95"/>
      <c r="I474" s="74"/>
      <c r="J474" s="96"/>
      <c r="K474" s="95"/>
      <c r="L474" s="74"/>
      <c r="M474" s="96"/>
      <c r="N474" s="95"/>
      <c r="O474" s="74"/>
      <c r="P474" s="96"/>
      <c r="Q474" s="28"/>
      <c r="R474" s="67" t="s">
        <v>6</v>
      </c>
      <c r="S474" s="25"/>
      <c r="T474" s="28"/>
      <c r="U474" s="67" t="s">
        <v>6</v>
      </c>
      <c r="V474" s="25"/>
      <c r="W474" s="1"/>
      <c r="X474" s="34">
        <f t="shared" si="50"/>
        <v>0</v>
      </c>
      <c r="Y474" s="67" t="s">
        <v>6</v>
      </c>
      <c r="Z474" s="35">
        <f t="shared" si="51"/>
        <v>0</v>
      </c>
      <c r="AA474" s="38">
        <f>IF(X474&gt;Z474,N465,IF(X474&lt;Z474,N466,0))</f>
        <v>0</v>
      </c>
    </row>
    <row r="475" spans="1:27" ht="13.5" thickBo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6.75" customHeight="1" thickBot="1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</row>
    <row r="477" spans="1:27" ht="13.5" thickBot="1">
      <c r="A477" s="22" t="s">
        <v>36</v>
      </c>
      <c r="B477" s="5">
        <v>28</v>
      </c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1:27" ht="6.75" customHeight="1" thickBo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3.5" thickBot="1">
      <c r="A479" s="240" t="s">
        <v>0</v>
      </c>
      <c r="B479" s="241"/>
      <c r="C479" s="242"/>
      <c r="D479" s="243"/>
      <c r="E479" s="243"/>
      <c r="F479"/>
      <c r="G479"/>
      <c r="H479"/>
      <c r="I479"/>
      <c r="J479"/>
      <c r="K479" s="240" t="s">
        <v>2</v>
      </c>
      <c r="L479" s="241"/>
      <c r="M479" s="241"/>
      <c r="N479" s="241" t="s">
        <v>1</v>
      </c>
      <c r="O479" s="241"/>
      <c r="P479" s="241"/>
      <c r="Q479" s="241"/>
      <c r="R479" s="241"/>
      <c r="S479" s="241"/>
      <c r="T479" s="241"/>
      <c r="U479" s="241"/>
      <c r="V479" s="242"/>
      <c r="W479"/>
      <c r="X479" s="246" t="s">
        <v>35</v>
      </c>
      <c r="Y479" s="247"/>
      <c r="Z479" s="248"/>
      <c r="AA479" s="12" t="s">
        <v>38</v>
      </c>
    </row>
    <row r="480" spans="1:27" ht="12.75">
      <c r="A480" s="249">
        <v>109</v>
      </c>
      <c r="B480" s="250"/>
      <c r="C480" s="251"/>
      <c r="D480" s="243"/>
      <c r="E480" s="243"/>
      <c r="F480" s="243"/>
      <c r="G480" s="243"/>
      <c r="H480" s="243"/>
      <c r="I480" s="243"/>
      <c r="J480"/>
      <c r="K480" s="252">
        <v>1</v>
      </c>
      <c r="L480" s="253"/>
      <c r="M480" s="253"/>
      <c r="N480" s="254">
        <f>VLOOKUP(A480,'[4]Inscripcions'!$A$7:$B$209,2)</f>
        <v>0</v>
      </c>
      <c r="O480" s="254"/>
      <c r="P480" s="254"/>
      <c r="Q480" s="254"/>
      <c r="R480" s="254"/>
      <c r="S480" s="254"/>
      <c r="T480" s="254"/>
      <c r="U480" s="254"/>
      <c r="V480" s="255"/>
      <c r="W480"/>
      <c r="X480" s="256">
        <f>IF(AA486=0,0,IF(N480=AA486,3,1))+IF(AA488=0,0,IF(N480=AA488,3,1))+IF(AA490=0,0,IF(N480=AA490,3,1))</f>
        <v>0</v>
      </c>
      <c r="Y480" s="257"/>
      <c r="Z480" s="258"/>
      <c r="AA480" s="39">
        <f>IF(X480&gt;8,"1r",IF(X480&gt;6,"2n",IF(X480&gt;3,"3r",IF(X480&gt;2,"4t",))))</f>
        <v>0</v>
      </c>
    </row>
    <row r="481" spans="1:27" ht="12.75">
      <c r="A481" s="249">
        <v>110</v>
      </c>
      <c r="B481" s="250"/>
      <c r="C481" s="251"/>
      <c r="D481" s="243"/>
      <c r="E481" s="243"/>
      <c r="F481" s="243"/>
      <c r="G481" s="243"/>
      <c r="H481" s="243"/>
      <c r="I481" s="243"/>
      <c r="J481"/>
      <c r="K481" s="244">
        <v>2</v>
      </c>
      <c r="L481" s="245"/>
      <c r="M481" s="245"/>
      <c r="N481" s="254">
        <f>VLOOKUP(A481,'[4]Inscripcions'!$A$7:$B$209,2)</f>
        <v>0</v>
      </c>
      <c r="O481" s="254"/>
      <c r="P481" s="254"/>
      <c r="Q481" s="254"/>
      <c r="R481" s="254"/>
      <c r="S481" s="254"/>
      <c r="T481" s="254"/>
      <c r="U481" s="254"/>
      <c r="V481" s="255"/>
      <c r="W481"/>
      <c r="X481" s="256">
        <f>IF(AA487=0,0,IF(N481=AA487,3,1))+IF(AA489=0,0,IF(N481=AA489,3,1))+IF(AA490=0,0,IF(N481=AA490,3,1))</f>
        <v>0</v>
      </c>
      <c r="Y481" s="257"/>
      <c r="Z481" s="258"/>
      <c r="AA481" s="40">
        <f>IF(X481&gt;8,"1r",IF(X481&gt;6,"2n",IF(X481&gt;3,"3r",IF(X481&gt;2,"4t",))))</f>
        <v>0</v>
      </c>
    </row>
    <row r="482" spans="1:27" ht="12.75">
      <c r="A482" s="249">
        <v>111</v>
      </c>
      <c r="B482" s="250"/>
      <c r="C482" s="251"/>
      <c r="D482" s="243"/>
      <c r="E482" s="243"/>
      <c r="F482" s="243"/>
      <c r="G482" s="243"/>
      <c r="H482" s="243"/>
      <c r="I482" s="243"/>
      <c r="J482"/>
      <c r="K482" s="244">
        <v>3</v>
      </c>
      <c r="L482" s="245"/>
      <c r="M482" s="245"/>
      <c r="N482" s="254">
        <f>VLOOKUP(A482,'[4]Inscripcions'!$A$7:$B$209,2)</f>
        <v>0</v>
      </c>
      <c r="O482" s="254"/>
      <c r="P482" s="254"/>
      <c r="Q482" s="254"/>
      <c r="R482" s="254"/>
      <c r="S482" s="254"/>
      <c r="T482" s="254"/>
      <c r="U482" s="254"/>
      <c r="V482" s="255"/>
      <c r="W482"/>
      <c r="X482" s="256">
        <f>IF(AA487=0,0,IF(N482=AA487,3,1))+IF(AA488=0,0,IF(N482=AA488,3,1))+IF(AA491=0,0,IF(N482=AA491,3,1))</f>
        <v>0</v>
      </c>
      <c r="Y482" s="257"/>
      <c r="Z482" s="258"/>
      <c r="AA482" s="40">
        <f>IF(X482&gt;8,"1r",IF(X482&gt;6,"2n",IF(X482&gt;3,"3r",IF(X482&gt;2,"4t",))))</f>
        <v>0</v>
      </c>
    </row>
    <row r="483" spans="1:27" ht="12.75">
      <c r="A483" s="249">
        <v>112</v>
      </c>
      <c r="B483" s="250"/>
      <c r="C483" s="251"/>
      <c r="D483" s="243"/>
      <c r="E483" s="243"/>
      <c r="F483" s="243"/>
      <c r="G483" s="243"/>
      <c r="H483" s="243"/>
      <c r="I483" s="243"/>
      <c r="J483"/>
      <c r="K483" s="244">
        <v>4</v>
      </c>
      <c r="L483" s="245"/>
      <c r="M483" s="245"/>
      <c r="N483" s="254">
        <f>VLOOKUP(A483,'[4]Inscripcions'!$A$7:$B$209,2)</f>
        <v>0</v>
      </c>
      <c r="O483" s="254"/>
      <c r="P483" s="254"/>
      <c r="Q483" s="254"/>
      <c r="R483" s="254"/>
      <c r="S483" s="254"/>
      <c r="T483" s="254"/>
      <c r="U483" s="254"/>
      <c r="V483" s="255"/>
      <c r="W483"/>
      <c r="X483" s="256">
        <f>IF(AA486=0,0,IF(N483=AA486,3,1))+IF(AA489=0,0,IF(N483=AA489,3,1))+IF(AA491=0,0,IF(N483=AA491,3,1))</f>
        <v>0</v>
      </c>
      <c r="Y483" s="257"/>
      <c r="Z483" s="258"/>
      <c r="AA483" s="40">
        <f>IF(X483&gt;8,"1r",IF(X483&gt;6,"2n",IF(X483&gt;3,"3r",IF(X483&gt;2,"4t",))))</f>
        <v>0</v>
      </c>
    </row>
    <row r="484" spans="1:27" ht="6.75" customHeight="1" thickBo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3.5" customHeight="1" thickBot="1">
      <c r="A485" s="9" t="s">
        <v>11</v>
      </c>
      <c r="B485" s="9" t="s">
        <v>14</v>
      </c>
      <c r="C485" s="9" t="s">
        <v>4</v>
      </c>
      <c r="D485" s="262" t="s">
        <v>3</v>
      </c>
      <c r="E485" s="263"/>
      <c r="F485" s="264"/>
      <c r="G485" s="10"/>
      <c r="H485" s="259" t="s">
        <v>5</v>
      </c>
      <c r="I485" s="260"/>
      <c r="J485" s="261"/>
      <c r="K485" s="259" t="s">
        <v>7</v>
      </c>
      <c r="L485" s="260"/>
      <c r="M485" s="261"/>
      <c r="N485" s="259" t="s">
        <v>8</v>
      </c>
      <c r="O485" s="260"/>
      <c r="P485" s="261"/>
      <c r="Q485" s="259" t="s">
        <v>9</v>
      </c>
      <c r="R485" s="260"/>
      <c r="S485" s="261"/>
      <c r="T485" s="259" t="s">
        <v>10</v>
      </c>
      <c r="U485" s="260"/>
      <c r="V485" s="261"/>
      <c r="W485" s="10"/>
      <c r="X485" s="259" t="s">
        <v>12</v>
      </c>
      <c r="Y485" s="260"/>
      <c r="Z485" s="261"/>
      <c r="AA485" s="9" t="s">
        <v>13</v>
      </c>
    </row>
    <row r="486" spans="1:27" ht="13.5" customHeight="1" thickBot="1">
      <c r="A486" s="11">
        <v>0.4166666666666667</v>
      </c>
      <c r="B486" s="29" t="s">
        <v>48</v>
      </c>
      <c r="C486" s="12">
        <v>3</v>
      </c>
      <c r="D486" s="13">
        <v>1</v>
      </c>
      <c r="E486" s="14" t="s">
        <v>6</v>
      </c>
      <c r="F486" s="15">
        <v>4</v>
      </c>
      <c r="G486" s="10"/>
      <c r="H486" s="95"/>
      <c r="I486" s="74"/>
      <c r="J486" s="96"/>
      <c r="K486" s="95"/>
      <c r="L486" s="74"/>
      <c r="M486" s="96"/>
      <c r="N486" s="95"/>
      <c r="O486" s="74"/>
      <c r="P486" s="96"/>
      <c r="Q486" s="26"/>
      <c r="R486" s="16" t="s">
        <v>6</v>
      </c>
      <c r="S486" s="23"/>
      <c r="T486" s="26"/>
      <c r="U486" s="16" t="s">
        <v>6</v>
      </c>
      <c r="V486" s="23"/>
      <c r="W486" s="10"/>
      <c r="X486" s="31">
        <f aca="true" t="shared" si="52" ref="X486:X491">IF(H486&gt;J486,1,0)+IF(K486&gt;M486,1,0)+IF(N486&gt;P486,1,0)+IF(Q486&gt;S486,1,0)+IF(T486&gt;V486,1,0)</f>
        <v>0</v>
      </c>
      <c r="Y486" s="16" t="s">
        <v>6</v>
      </c>
      <c r="Z486" s="33">
        <f aca="true" t="shared" si="53" ref="Z486:Z491">IF(H486&lt;J486,1,0)+IF(K486&lt;M486,1,0)+IF(N486&lt;P486,1,0)+IF(Q486&lt;S486,1,0)+IF(T486&lt;V486,1,0)</f>
        <v>0</v>
      </c>
      <c r="AA486" s="36">
        <f>IF(X486&gt;Z486,N480,IF(X486&lt;Z486,N483,0))</f>
        <v>0</v>
      </c>
    </row>
    <row r="487" spans="1:27" ht="13.5" customHeight="1" thickBot="1">
      <c r="A487" s="7">
        <v>0.4305555555555556</v>
      </c>
      <c r="B487" s="30" t="s">
        <v>48</v>
      </c>
      <c r="C487" s="6">
        <v>1</v>
      </c>
      <c r="D487" s="3">
        <v>2</v>
      </c>
      <c r="E487" s="4" t="s">
        <v>6</v>
      </c>
      <c r="F487" s="5">
        <v>3</v>
      </c>
      <c r="G487"/>
      <c r="H487" s="95"/>
      <c r="I487" s="74"/>
      <c r="J487" s="96"/>
      <c r="K487" s="95"/>
      <c r="L487" s="74"/>
      <c r="M487" s="96"/>
      <c r="N487" s="95"/>
      <c r="O487" s="74"/>
      <c r="P487" s="96"/>
      <c r="Q487" s="27"/>
      <c r="R487" s="2" t="s">
        <v>6</v>
      </c>
      <c r="S487" s="24"/>
      <c r="T487" s="27"/>
      <c r="U487" s="2" t="s">
        <v>6</v>
      </c>
      <c r="V487" s="24"/>
      <c r="W487" s="1"/>
      <c r="X487" s="31">
        <f t="shared" si="52"/>
        <v>0</v>
      </c>
      <c r="Y487" s="2" t="s">
        <v>6</v>
      </c>
      <c r="Z487" s="33">
        <f t="shared" si="53"/>
        <v>0</v>
      </c>
      <c r="AA487" s="37">
        <f>IF(X487&gt;Z487,N481,IF(X487&lt;Z487,N482,0))</f>
        <v>0</v>
      </c>
    </row>
    <row r="488" spans="1:27" ht="13.5" customHeight="1" thickBot="1">
      <c r="A488" s="11">
        <v>0.4444444444444444</v>
      </c>
      <c r="B488" s="29" t="s">
        <v>48</v>
      </c>
      <c r="C488" s="12">
        <v>4</v>
      </c>
      <c r="D488" s="13">
        <v>1</v>
      </c>
      <c r="E488" s="14" t="s">
        <v>6</v>
      </c>
      <c r="F488" s="15">
        <v>3</v>
      </c>
      <c r="G488" s="10"/>
      <c r="H488" s="95"/>
      <c r="I488" s="74"/>
      <c r="J488" s="96"/>
      <c r="K488" s="95"/>
      <c r="L488" s="74"/>
      <c r="M488" s="96"/>
      <c r="N488" s="95"/>
      <c r="O488" s="74"/>
      <c r="P488" s="96"/>
      <c r="Q488" s="26"/>
      <c r="R488" s="16" t="s">
        <v>6</v>
      </c>
      <c r="S488" s="23"/>
      <c r="T488" s="26"/>
      <c r="U488" s="16" t="s">
        <v>6</v>
      </c>
      <c r="V488" s="23"/>
      <c r="W488" s="10"/>
      <c r="X488" s="31">
        <f t="shared" si="52"/>
        <v>0</v>
      </c>
      <c r="Y488" s="16" t="s">
        <v>6</v>
      </c>
      <c r="Z488" s="33">
        <f t="shared" si="53"/>
        <v>0</v>
      </c>
      <c r="AA488" s="36">
        <f>IF(X488&gt;Z488,N480,IF(X488&lt;Z488,N482,0))</f>
        <v>0</v>
      </c>
    </row>
    <row r="489" spans="1:27" ht="13.5" customHeight="1" thickBot="1">
      <c r="A489" s="7">
        <v>0.4583333333333333</v>
      </c>
      <c r="B489" s="30" t="s">
        <v>48</v>
      </c>
      <c r="C489" s="6">
        <v>3</v>
      </c>
      <c r="D489" s="3">
        <v>2</v>
      </c>
      <c r="E489" s="4" t="s">
        <v>6</v>
      </c>
      <c r="F489" s="5">
        <v>4</v>
      </c>
      <c r="G489"/>
      <c r="H489" s="95"/>
      <c r="I489" s="74"/>
      <c r="J489" s="96"/>
      <c r="K489" s="95"/>
      <c r="L489" s="74"/>
      <c r="M489" s="96"/>
      <c r="N489" s="95"/>
      <c r="O489" s="74"/>
      <c r="P489" s="96"/>
      <c r="Q489" s="27"/>
      <c r="R489" s="2" t="s">
        <v>6</v>
      </c>
      <c r="S489" s="24"/>
      <c r="T489" s="27"/>
      <c r="U489" s="2" t="s">
        <v>6</v>
      </c>
      <c r="V489" s="24"/>
      <c r="W489" s="1"/>
      <c r="X489" s="31">
        <f t="shared" si="52"/>
        <v>0</v>
      </c>
      <c r="Y489" s="2" t="s">
        <v>6</v>
      </c>
      <c r="Z489" s="33">
        <f t="shared" si="53"/>
        <v>0</v>
      </c>
      <c r="AA489" s="37">
        <f>IF(X489&gt;Z489,N481,IF(X489&lt;Z489,N483,0))</f>
        <v>0</v>
      </c>
    </row>
    <row r="490" spans="1:27" ht="13.5" customHeight="1" thickBot="1">
      <c r="A490" s="11">
        <v>0.47222222222222227</v>
      </c>
      <c r="B490" s="29" t="s">
        <v>48</v>
      </c>
      <c r="C490" s="12">
        <v>4</v>
      </c>
      <c r="D490" s="13">
        <v>1</v>
      </c>
      <c r="E490" s="14" t="s">
        <v>6</v>
      </c>
      <c r="F490" s="15">
        <v>2</v>
      </c>
      <c r="G490" s="10"/>
      <c r="H490" s="95"/>
      <c r="I490" s="74"/>
      <c r="J490" s="96"/>
      <c r="K490" s="95"/>
      <c r="L490" s="74"/>
      <c r="M490" s="96"/>
      <c r="N490" s="95"/>
      <c r="O490" s="74"/>
      <c r="P490" s="96"/>
      <c r="Q490" s="26"/>
      <c r="R490" s="16" t="s">
        <v>6</v>
      </c>
      <c r="S490" s="23"/>
      <c r="T490" s="26"/>
      <c r="U490" s="16" t="s">
        <v>6</v>
      </c>
      <c r="V490" s="23"/>
      <c r="W490" s="10"/>
      <c r="X490" s="31">
        <f t="shared" si="52"/>
        <v>0</v>
      </c>
      <c r="Y490" s="16" t="s">
        <v>6</v>
      </c>
      <c r="Z490" s="33">
        <f t="shared" si="53"/>
        <v>0</v>
      </c>
      <c r="AA490" s="36">
        <f>IF(X490&gt;Z490,N480,IF(X490&lt;Z490,N481,0))</f>
        <v>0</v>
      </c>
    </row>
    <row r="491" spans="1:27" ht="13.5" customHeight="1" thickBot="1">
      <c r="A491" s="7">
        <v>0.4861111111111111</v>
      </c>
      <c r="B491" s="30" t="s">
        <v>48</v>
      </c>
      <c r="C491" s="6">
        <v>2</v>
      </c>
      <c r="D491" s="3">
        <v>3</v>
      </c>
      <c r="E491" s="4" t="s">
        <v>6</v>
      </c>
      <c r="F491" s="5">
        <v>4</v>
      </c>
      <c r="G491"/>
      <c r="H491" s="95"/>
      <c r="I491" s="74"/>
      <c r="J491" s="96"/>
      <c r="K491" s="95"/>
      <c r="L491" s="74"/>
      <c r="M491" s="96"/>
      <c r="N491" s="95"/>
      <c r="O491" s="74"/>
      <c r="P491" s="96"/>
      <c r="Q491" s="28"/>
      <c r="R491" s="67" t="s">
        <v>6</v>
      </c>
      <c r="S491" s="25"/>
      <c r="T491" s="28"/>
      <c r="U491" s="67" t="s">
        <v>6</v>
      </c>
      <c r="V491" s="25"/>
      <c r="W491" s="1"/>
      <c r="X491" s="34">
        <f t="shared" si="52"/>
        <v>0</v>
      </c>
      <c r="Y491" s="67" t="s">
        <v>6</v>
      </c>
      <c r="Z491" s="35">
        <f t="shared" si="53"/>
        <v>0</v>
      </c>
      <c r="AA491" s="38">
        <f>IF(X491&gt;Z491,N482,IF(X491&lt;Z491,N483,0))</f>
        <v>0</v>
      </c>
    </row>
    <row r="492" spans="1:27" ht="13.5" thickBo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</row>
    <row r="493" spans="1:27" ht="6.75" customHeight="1" thickBot="1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</row>
    <row r="494" spans="1:27" ht="13.5" thickBot="1">
      <c r="A494" s="22" t="s">
        <v>36</v>
      </c>
      <c r="B494" s="5">
        <v>29</v>
      </c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6.75" customHeight="1" thickBo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1:27" ht="13.5" thickBot="1">
      <c r="A496" s="240" t="s">
        <v>0</v>
      </c>
      <c r="B496" s="241"/>
      <c r="C496" s="242"/>
      <c r="D496" s="243"/>
      <c r="E496" s="243"/>
      <c r="F496"/>
      <c r="G496"/>
      <c r="H496"/>
      <c r="I496"/>
      <c r="J496"/>
      <c r="K496" s="240" t="s">
        <v>2</v>
      </c>
      <c r="L496" s="241"/>
      <c r="M496" s="241"/>
      <c r="N496" s="241" t="s">
        <v>1</v>
      </c>
      <c r="O496" s="241"/>
      <c r="P496" s="241"/>
      <c r="Q496" s="241"/>
      <c r="R496" s="241"/>
      <c r="S496" s="241"/>
      <c r="T496" s="241"/>
      <c r="U496" s="241"/>
      <c r="V496" s="242"/>
      <c r="W496"/>
      <c r="X496" s="246" t="s">
        <v>35</v>
      </c>
      <c r="Y496" s="247"/>
      <c r="Z496" s="248"/>
      <c r="AA496" s="12" t="s">
        <v>38</v>
      </c>
    </row>
    <row r="497" spans="1:27" ht="12.75">
      <c r="A497" s="249">
        <v>113</v>
      </c>
      <c r="B497" s="250"/>
      <c r="C497" s="251"/>
      <c r="D497" s="243"/>
      <c r="E497" s="243"/>
      <c r="F497" s="243"/>
      <c r="G497" s="243"/>
      <c r="H497" s="243"/>
      <c r="I497" s="243"/>
      <c r="J497"/>
      <c r="K497" s="252">
        <v>1</v>
      </c>
      <c r="L497" s="253"/>
      <c r="M497" s="253"/>
      <c r="N497" s="254">
        <f>VLOOKUP(A497,'[4]Inscripcions'!$A$7:$B$209,2)</f>
        <v>0</v>
      </c>
      <c r="O497" s="254"/>
      <c r="P497" s="254"/>
      <c r="Q497" s="254"/>
      <c r="R497" s="254"/>
      <c r="S497" s="254"/>
      <c r="T497" s="254"/>
      <c r="U497" s="254"/>
      <c r="V497" s="255"/>
      <c r="W497"/>
      <c r="X497" s="256">
        <f>IF(AA503=0,0,IF(N497=AA503,3,1))+IF(AA505=0,0,IF(N497=AA505,3,1))+IF(AA507=0,0,IF(N497=AA507,3,1))</f>
        <v>0</v>
      </c>
      <c r="Y497" s="257"/>
      <c r="Z497" s="258"/>
      <c r="AA497" s="39">
        <f>IF(X497&gt;8,"1r",IF(X497&gt;6,"2n",IF(X497&gt;3,"3r",IF(X497&gt;2,"4t",))))</f>
        <v>0</v>
      </c>
    </row>
    <row r="498" spans="1:27" ht="12.75">
      <c r="A498" s="249">
        <v>114</v>
      </c>
      <c r="B498" s="250"/>
      <c r="C498" s="251"/>
      <c r="D498" s="243"/>
      <c r="E498" s="243"/>
      <c r="F498" s="243"/>
      <c r="G498" s="243"/>
      <c r="H498" s="243"/>
      <c r="I498" s="243"/>
      <c r="J498"/>
      <c r="K498" s="244">
        <v>2</v>
      </c>
      <c r="L498" s="245"/>
      <c r="M498" s="245"/>
      <c r="N498" s="254">
        <f>VLOOKUP(A498,'[4]Inscripcions'!$A$7:$B$209,2)</f>
        <v>0</v>
      </c>
      <c r="O498" s="254"/>
      <c r="P498" s="254"/>
      <c r="Q498" s="254"/>
      <c r="R498" s="254"/>
      <c r="S498" s="254"/>
      <c r="T498" s="254"/>
      <c r="U498" s="254"/>
      <c r="V498" s="255"/>
      <c r="W498"/>
      <c r="X498" s="256">
        <f>IF(AA504=0,0,IF(N498=AA504,3,1))+IF(AA506=0,0,IF(N498=AA506,3,1))+IF(AA507=0,0,IF(N498=AA507,3,1))</f>
        <v>0</v>
      </c>
      <c r="Y498" s="257"/>
      <c r="Z498" s="258"/>
      <c r="AA498" s="40">
        <f>IF(X498&gt;8,"1r",IF(X498&gt;6,"2n",IF(X498&gt;3,"3r",IF(X498&gt;2,"4t",))))</f>
        <v>0</v>
      </c>
    </row>
    <row r="499" spans="1:27" ht="12.75">
      <c r="A499" s="249">
        <v>115</v>
      </c>
      <c r="B499" s="250"/>
      <c r="C499" s="251"/>
      <c r="D499" s="243"/>
      <c r="E499" s="243"/>
      <c r="F499" s="243"/>
      <c r="G499" s="243"/>
      <c r="H499" s="243"/>
      <c r="I499" s="243"/>
      <c r="J499"/>
      <c r="K499" s="244">
        <v>3</v>
      </c>
      <c r="L499" s="245"/>
      <c r="M499" s="245"/>
      <c r="N499" s="254">
        <f>VLOOKUP(A499,'[4]Inscripcions'!$A$7:$B$209,2)</f>
        <v>0</v>
      </c>
      <c r="O499" s="254"/>
      <c r="P499" s="254"/>
      <c r="Q499" s="254"/>
      <c r="R499" s="254"/>
      <c r="S499" s="254"/>
      <c r="T499" s="254"/>
      <c r="U499" s="254"/>
      <c r="V499" s="255"/>
      <c r="W499"/>
      <c r="X499" s="256">
        <f>IF(AA504=0,0,IF(N499=AA504,3,1))+IF(AA505=0,0,IF(N499=AA505,3,1))+IF(AA508=0,0,IF(N499=AA508,3,1))</f>
        <v>0</v>
      </c>
      <c r="Y499" s="257"/>
      <c r="Z499" s="258"/>
      <c r="AA499" s="40">
        <f>IF(X499&gt;8,"1r",IF(X499&gt;6,"2n",IF(X499&gt;3,"3r",IF(X499&gt;2,"4t",))))</f>
        <v>0</v>
      </c>
    </row>
    <row r="500" spans="1:27" ht="12.75">
      <c r="A500" s="249">
        <v>116</v>
      </c>
      <c r="B500" s="250"/>
      <c r="C500" s="251"/>
      <c r="D500" s="243"/>
      <c r="E500" s="243"/>
      <c r="F500" s="243"/>
      <c r="G500" s="243"/>
      <c r="H500" s="243"/>
      <c r="I500" s="243"/>
      <c r="J500"/>
      <c r="K500" s="244">
        <v>4</v>
      </c>
      <c r="L500" s="245"/>
      <c r="M500" s="245"/>
      <c r="N500" s="254">
        <f>VLOOKUP(A500,'[4]Inscripcions'!$A$7:$B$209,2)</f>
        <v>0</v>
      </c>
      <c r="O500" s="254"/>
      <c r="P500" s="254"/>
      <c r="Q500" s="254"/>
      <c r="R500" s="254"/>
      <c r="S500" s="254"/>
      <c r="T500" s="254"/>
      <c r="U500" s="254"/>
      <c r="V500" s="255"/>
      <c r="W500"/>
      <c r="X500" s="256">
        <f>IF(AA503=0,0,IF(N500=AA503,3,1))+IF(AA506=0,0,IF(N500=AA506,3,1))+IF(AA508=0,0,IF(N500=AA508,3,1))</f>
        <v>0</v>
      </c>
      <c r="Y500" s="257"/>
      <c r="Z500" s="258"/>
      <c r="AA500" s="40">
        <f>IF(X500&gt;8,"1r",IF(X500&gt;6,"2n",IF(X500&gt;3,"3r",IF(X500&gt;2,"4t",))))</f>
        <v>0</v>
      </c>
    </row>
    <row r="501" spans="1:27" ht="6.75" customHeight="1" thickBo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</row>
    <row r="502" spans="1:27" ht="13.5" customHeight="1" thickBot="1">
      <c r="A502" s="9" t="s">
        <v>11</v>
      </c>
      <c r="B502" s="9" t="s">
        <v>14</v>
      </c>
      <c r="C502" s="9" t="s">
        <v>4</v>
      </c>
      <c r="D502" s="262" t="s">
        <v>3</v>
      </c>
      <c r="E502" s="263"/>
      <c r="F502" s="264"/>
      <c r="G502" s="10"/>
      <c r="H502" s="259" t="s">
        <v>5</v>
      </c>
      <c r="I502" s="260"/>
      <c r="J502" s="261"/>
      <c r="K502" s="259" t="s">
        <v>7</v>
      </c>
      <c r="L502" s="260"/>
      <c r="M502" s="261"/>
      <c r="N502" s="259" t="s">
        <v>8</v>
      </c>
      <c r="O502" s="260"/>
      <c r="P502" s="261"/>
      <c r="Q502" s="259" t="s">
        <v>9</v>
      </c>
      <c r="R502" s="260"/>
      <c r="S502" s="261"/>
      <c r="T502" s="259" t="s">
        <v>10</v>
      </c>
      <c r="U502" s="260"/>
      <c r="V502" s="261"/>
      <c r="W502" s="10"/>
      <c r="X502" s="259" t="s">
        <v>12</v>
      </c>
      <c r="Y502" s="260"/>
      <c r="Z502" s="261"/>
      <c r="AA502" s="9" t="s">
        <v>13</v>
      </c>
    </row>
    <row r="503" spans="1:27" ht="13.5" customHeight="1" thickBot="1">
      <c r="A503" s="11"/>
      <c r="B503" s="29"/>
      <c r="C503" s="12">
        <v>3</v>
      </c>
      <c r="D503" s="13">
        <v>1</v>
      </c>
      <c r="E503" s="14" t="s">
        <v>6</v>
      </c>
      <c r="F503" s="15">
        <v>4</v>
      </c>
      <c r="G503" s="10"/>
      <c r="H503" s="95"/>
      <c r="I503" s="74"/>
      <c r="J503" s="96"/>
      <c r="K503" s="95"/>
      <c r="L503" s="74"/>
      <c r="M503" s="96"/>
      <c r="N503" s="95"/>
      <c r="O503" s="74"/>
      <c r="P503" s="96"/>
      <c r="Q503" s="26"/>
      <c r="R503" s="16" t="s">
        <v>6</v>
      </c>
      <c r="S503" s="23"/>
      <c r="T503" s="26"/>
      <c r="U503" s="16" t="s">
        <v>6</v>
      </c>
      <c r="V503" s="23"/>
      <c r="W503" s="10"/>
      <c r="X503" s="31">
        <f aca="true" t="shared" si="54" ref="X503:X508">IF(H503&gt;J503,1,0)+IF(K503&gt;M503,1,0)+IF(N503&gt;P503,1,0)+IF(Q503&gt;S503,1,0)+IF(T503&gt;V503,1,0)</f>
        <v>0</v>
      </c>
      <c r="Y503" s="16" t="s">
        <v>6</v>
      </c>
      <c r="Z503" s="33">
        <f aca="true" t="shared" si="55" ref="Z503:Z508">IF(H503&lt;J503,1,0)+IF(K503&lt;M503,1,0)+IF(N503&lt;P503,1,0)+IF(Q503&lt;S503,1,0)+IF(T503&lt;V503,1,0)</f>
        <v>0</v>
      </c>
      <c r="AA503" s="36">
        <f>IF(X503&gt;Z503,N497,IF(X503&lt;Z503,N500,0))</f>
        <v>0</v>
      </c>
    </row>
    <row r="504" spans="1:27" ht="13.5" customHeight="1" thickBot="1">
      <c r="A504" s="7"/>
      <c r="B504" s="30"/>
      <c r="C504" s="6">
        <v>1</v>
      </c>
      <c r="D504" s="3">
        <v>2</v>
      </c>
      <c r="E504" s="4" t="s">
        <v>6</v>
      </c>
      <c r="F504" s="5">
        <v>3</v>
      </c>
      <c r="G504"/>
      <c r="H504" s="95"/>
      <c r="I504" s="74"/>
      <c r="J504" s="96"/>
      <c r="K504" s="95"/>
      <c r="L504" s="74"/>
      <c r="M504" s="96"/>
      <c r="N504" s="95"/>
      <c r="O504" s="74"/>
      <c r="P504" s="96"/>
      <c r="Q504" s="27"/>
      <c r="R504" s="2" t="s">
        <v>6</v>
      </c>
      <c r="S504" s="24"/>
      <c r="T504" s="27"/>
      <c r="U504" s="2" t="s">
        <v>6</v>
      </c>
      <c r="V504" s="24"/>
      <c r="W504" s="1"/>
      <c r="X504" s="31">
        <f t="shared" si="54"/>
        <v>0</v>
      </c>
      <c r="Y504" s="2" t="s">
        <v>6</v>
      </c>
      <c r="Z504" s="33">
        <f t="shared" si="55"/>
        <v>0</v>
      </c>
      <c r="AA504" s="37">
        <f>IF(X504&gt;Z504,N498,IF(X504&lt;Z504,N499,0))</f>
        <v>0</v>
      </c>
    </row>
    <row r="505" spans="1:27" ht="13.5" customHeight="1" thickBot="1">
      <c r="A505" s="11"/>
      <c r="B505" s="29"/>
      <c r="C505" s="12">
        <v>4</v>
      </c>
      <c r="D505" s="13">
        <v>1</v>
      </c>
      <c r="E505" s="14" t="s">
        <v>6</v>
      </c>
      <c r="F505" s="15">
        <v>3</v>
      </c>
      <c r="G505" s="10"/>
      <c r="H505" s="95"/>
      <c r="I505" s="74"/>
      <c r="J505" s="96"/>
      <c r="K505" s="95"/>
      <c r="L505" s="74"/>
      <c r="M505" s="96"/>
      <c r="N505" s="95"/>
      <c r="O505" s="74"/>
      <c r="P505" s="96"/>
      <c r="Q505" s="26"/>
      <c r="R505" s="16" t="s">
        <v>6</v>
      </c>
      <c r="S505" s="23"/>
      <c r="T505" s="26"/>
      <c r="U505" s="16" t="s">
        <v>6</v>
      </c>
      <c r="V505" s="23"/>
      <c r="W505" s="10"/>
      <c r="X505" s="31">
        <f t="shared" si="54"/>
        <v>0</v>
      </c>
      <c r="Y505" s="16" t="s">
        <v>6</v>
      </c>
      <c r="Z505" s="33">
        <f t="shared" si="55"/>
        <v>0</v>
      </c>
      <c r="AA505" s="36">
        <f>IF(X505&gt;Z505,N497,IF(X505&lt;Z505,N499,0))</f>
        <v>0</v>
      </c>
    </row>
    <row r="506" spans="1:27" ht="13.5" customHeight="1" thickBot="1">
      <c r="A506" s="7"/>
      <c r="B506" s="30"/>
      <c r="C506" s="6">
        <v>3</v>
      </c>
      <c r="D506" s="3">
        <v>2</v>
      </c>
      <c r="E506" s="4" t="s">
        <v>6</v>
      </c>
      <c r="F506" s="5">
        <v>4</v>
      </c>
      <c r="G506"/>
      <c r="H506" s="95"/>
      <c r="I506" s="74"/>
      <c r="J506" s="96"/>
      <c r="K506" s="95"/>
      <c r="L506" s="74"/>
      <c r="M506" s="96"/>
      <c r="N506" s="95"/>
      <c r="O506" s="74"/>
      <c r="P506" s="96"/>
      <c r="Q506" s="27"/>
      <c r="R506" s="2" t="s">
        <v>6</v>
      </c>
      <c r="S506" s="24"/>
      <c r="T506" s="27"/>
      <c r="U506" s="2" t="s">
        <v>6</v>
      </c>
      <c r="V506" s="24"/>
      <c r="W506" s="1"/>
      <c r="X506" s="31">
        <f t="shared" si="54"/>
        <v>0</v>
      </c>
      <c r="Y506" s="2" t="s">
        <v>6</v>
      </c>
      <c r="Z506" s="33">
        <f t="shared" si="55"/>
        <v>0</v>
      </c>
      <c r="AA506" s="37">
        <f>IF(X506&gt;Z506,N498,IF(X506&lt;Z506,N500,0))</f>
        <v>0</v>
      </c>
    </row>
    <row r="507" spans="1:27" ht="13.5" customHeight="1" thickBot="1">
      <c r="A507" s="11"/>
      <c r="B507" s="29"/>
      <c r="C507" s="12">
        <v>4</v>
      </c>
      <c r="D507" s="13">
        <v>1</v>
      </c>
      <c r="E507" s="14" t="s">
        <v>6</v>
      </c>
      <c r="F507" s="15">
        <v>2</v>
      </c>
      <c r="G507" s="10"/>
      <c r="H507" s="95"/>
      <c r="I507" s="74"/>
      <c r="J507" s="96"/>
      <c r="K507" s="95"/>
      <c r="L507" s="74"/>
      <c r="M507" s="96"/>
      <c r="N507" s="95"/>
      <c r="O507" s="74"/>
      <c r="P507" s="96"/>
      <c r="Q507" s="26"/>
      <c r="R507" s="16" t="s">
        <v>6</v>
      </c>
      <c r="S507" s="23"/>
      <c r="T507" s="26"/>
      <c r="U507" s="16" t="s">
        <v>6</v>
      </c>
      <c r="V507" s="23"/>
      <c r="W507" s="10"/>
      <c r="X507" s="31">
        <f t="shared" si="54"/>
        <v>0</v>
      </c>
      <c r="Y507" s="16" t="s">
        <v>6</v>
      </c>
      <c r="Z507" s="33">
        <f t="shared" si="55"/>
        <v>0</v>
      </c>
      <c r="AA507" s="36">
        <f>IF(X507&gt;Z507,N497,IF(X507&lt;Z507,N498,0))</f>
        <v>0</v>
      </c>
    </row>
    <row r="508" spans="1:27" ht="13.5" customHeight="1" thickBot="1">
      <c r="A508" s="7"/>
      <c r="B508" s="30"/>
      <c r="C508" s="6">
        <v>2</v>
      </c>
      <c r="D508" s="3">
        <v>3</v>
      </c>
      <c r="E508" s="4" t="s">
        <v>6</v>
      </c>
      <c r="F508" s="5">
        <v>4</v>
      </c>
      <c r="G508"/>
      <c r="H508" s="95"/>
      <c r="I508" s="74"/>
      <c r="J508" s="96"/>
      <c r="K508" s="95"/>
      <c r="L508" s="74"/>
      <c r="M508" s="96"/>
      <c r="N508" s="95"/>
      <c r="O508" s="74"/>
      <c r="P508" s="96"/>
      <c r="Q508" s="28"/>
      <c r="R508" s="67" t="s">
        <v>6</v>
      </c>
      <c r="S508" s="25"/>
      <c r="T508" s="28"/>
      <c r="U508" s="67" t="s">
        <v>6</v>
      </c>
      <c r="V508" s="25"/>
      <c r="W508" s="1"/>
      <c r="X508" s="34">
        <f t="shared" si="54"/>
        <v>0</v>
      </c>
      <c r="Y508" s="67" t="s">
        <v>6</v>
      </c>
      <c r="Z508" s="35">
        <f t="shared" si="55"/>
        <v>0</v>
      </c>
      <c r="AA508" s="38">
        <f>IF(X508&gt;Z508,N499,IF(X508&lt;Z508,N500,0))</f>
        <v>0</v>
      </c>
    </row>
    <row r="509" spans="1:27" ht="13.5" thickBo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6.75" customHeight="1" thickBot="1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</row>
    <row r="511" spans="1:27" ht="13.5" thickBot="1">
      <c r="A511" s="22" t="s">
        <v>36</v>
      </c>
      <c r="B511" s="5">
        <v>30</v>
      </c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6.75" customHeight="1" thickBo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3.5" thickBot="1">
      <c r="A513" s="240" t="s">
        <v>0</v>
      </c>
      <c r="B513" s="241"/>
      <c r="C513" s="242"/>
      <c r="D513" s="243"/>
      <c r="E513" s="243"/>
      <c r="F513"/>
      <c r="G513"/>
      <c r="H513"/>
      <c r="I513"/>
      <c r="J513"/>
      <c r="K513" s="240" t="s">
        <v>2</v>
      </c>
      <c r="L513" s="241"/>
      <c r="M513" s="241"/>
      <c r="N513" s="241" t="s">
        <v>1</v>
      </c>
      <c r="O513" s="241"/>
      <c r="P513" s="241"/>
      <c r="Q513" s="241"/>
      <c r="R513" s="241"/>
      <c r="S513" s="241"/>
      <c r="T513" s="241"/>
      <c r="U513" s="241"/>
      <c r="V513" s="242"/>
      <c r="W513"/>
      <c r="X513" s="246" t="s">
        <v>35</v>
      </c>
      <c r="Y513" s="247"/>
      <c r="Z513" s="248"/>
      <c r="AA513" s="12" t="s">
        <v>38</v>
      </c>
    </row>
    <row r="514" spans="1:27" ht="12.75">
      <c r="A514" s="249">
        <v>117</v>
      </c>
      <c r="B514" s="250"/>
      <c r="C514" s="251"/>
      <c r="D514" s="243"/>
      <c r="E514" s="243"/>
      <c r="F514" s="243"/>
      <c r="G514" s="243"/>
      <c r="H514" s="243"/>
      <c r="I514" s="243"/>
      <c r="J514"/>
      <c r="K514" s="252">
        <v>1</v>
      </c>
      <c r="L514" s="253"/>
      <c r="M514" s="253"/>
      <c r="N514" s="254">
        <f>VLOOKUP(A514,'[4]Inscripcions'!$A$7:$B$209,2)</f>
        <v>0</v>
      </c>
      <c r="O514" s="254"/>
      <c r="P514" s="254"/>
      <c r="Q514" s="254"/>
      <c r="R514" s="254"/>
      <c r="S514" s="254"/>
      <c r="T514" s="254"/>
      <c r="U514" s="254"/>
      <c r="V514" s="255"/>
      <c r="W514"/>
      <c r="X514" s="256">
        <f>IF(AA520=0,0,IF(N514=AA520,3,1))+IF(AA522=0,0,IF(N514=AA522,3,1))+IF(AA524=0,0,IF(N514=AA524,3,1))</f>
        <v>0</v>
      </c>
      <c r="Y514" s="257"/>
      <c r="Z514" s="258"/>
      <c r="AA514" s="39">
        <f>IF(X514&gt;8,"1r",IF(X514&gt;6,"2n",IF(X514&gt;3,"3r",IF(X514&gt;2,"4t",))))</f>
        <v>0</v>
      </c>
    </row>
    <row r="515" spans="1:27" ht="12.75">
      <c r="A515" s="249">
        <v>118</v>
      </c>
      <c r="B515" s="250"/>
      <c r="C515" s="251"/>
      <c r="D515" s="243"/>
      <c r="E515" s="243"/>
      <c r="F515" s="243"/>
      <c r="G515" s="243"/>
      <c r="H515" s="243"/>
      <c r="I515" s="243"/>
      <c r="J515"/>
      <c r="K515" s="244">
        <v>2</v>
      </c>
      <c r="L515" s="245"/>
      <c r="M515" s="245"/>
      <c r="N515" s="254">
        <f>VLOOKUP(A515,'[4]Inscripcions'!$A$7:$B$209,2)</f>
        <v>0</v>
      </c>
      <c r="O515" s="254"/>
      <c r="P515" s="254"/>
      <c r="Q515" s="254"/>
      <c r="R515" s="254"/>
      <c r="S515" s="254"/>
      <c r="T515" s="254"/>
      <c r="U515" s="254"/>
      <c r="V515" s="255"/>
      <c r="W515"/>
      <c r="X515" s="256">
        <f>IF(AA521=0,0,IF(N515=AA521,3,1))+IF(AA523=0,0,IF(N515=AA523,3,1))+IF(AA524=0,0,IF(N515=AA524,3,1))</f>
        <v>0</v>
      </c>
      <c r="Y515" s="257"/>
      <c r="Z515" s="258"/>
      <c r="AA515" s="40">
        <f>IF(X515&gt;8,"1r",IF(X515&gt;6,"2n",IF(X515&gt;3,"3r",IF(X515&gt;2,"4t",))))</f>
        <v>0</v>
      </c>
    </row>
    <row r="516" spans="1:27" ht="12.75">
      <c r="A516" s="249">
        <v>119</v>
      </c>
      <c r="B516" s="250"/>
      <c r="C516" s="251"/>
      <c r="D516" s="243"/>
      <c r="E516" s="243"/>
      <c r="F516" s="243"/>
      <c r="G516" s="243"/>
      <c r="H516" s="243"/>
      <c r="I516" s="243"/>
      <c r="J516"/>
      <c r="K516" s="244">
        <v>3</v>
      </c>
      <c r="L516" s="245"/>
      <c r="M516" s="245"/>
      <c r="N516" s="254">
        <f>VLOOKUP(A516,'[4]Inscripcions'!$A$7:$B$209,2)</f>
        <v>0</v>
      </c>
      <c r="O516" s="254"/>
      <c r="P516" s="254"/>
      <c r="Q516" s="254"/>
      <c r="R516" s="254"/>
      <c r="S516" s="254"/>
      <c r="T516" s="254"/>
      <c r="U516" s="254"/>
      <c r="V516" s="255"/>
      <c r="W516"/>
      <c r="X516" s="256">
        <f>IF(AA521=0,0,IF(N516=AA521,3,1))+IF(AA522=0,0,IF(N516=AA522,3,1))+IF(AA525=0,0,IF(N516=AA525,3,1))</f>
        <v>0</v>
      </c>
      <c r="Y516" s="257"/>
      <c r="Z516" s="258"/>
      <c r="AA516" s="40">
        <f>IF(X516&gt;8,"1r",IF(X516&gt;6,"2n",IF(X516&gt;3,"3r",IF(X516&gt;2,"4t",))))</f>
        <v>0</v>
      </c>
    </row>
    <row r="517" spans="1:27" ht="12.75">
      <c r="A517" s="249">
        <v>120</v>
      </c>
      <c r="B517" s="250"/>
      <c r="C517" s="251"/>
      <c r="D517" s="243"/>
      <c r="E517" s="243"/>
      <c r="F517" s="243"/>
      <c r="G517" s="243"/>
      <c r="H517" s="243"/>
      <c r="I517" s="243"/>
      <c r="J517"/>
      <c r="K517" s="244">
        <v>4</v>
      </c>
      <c r="L517" s="245"/>
      <c r="M517" s="245"/>
      <c r="N517" s="254">
        <f>VLOOKUP(A517,'[4]Inscripcions'!$A$7:$B$209,2)</f>
        <v>0</v>
      </c>
      <c r="O517" s="254"/>
      <c r="P517" s="254"/>
      <c r="Q517" s="254"/>
      <c r="R517" s="254"/>
      <c r="S517" s="254"/>
      <c r="T517" s="254"/>
      <c r="U517" s="254"/>
      <c r="V517" s="255"/>
      <c r="W517"/>
      <c r="X517" s="256">
        <f>IF(AA520=0,0,IF(N517=AA520,3,1))+IF(AA523=0,0,IF(N517=AA523,3,1))+IF(AA525=0,0,IF(N517=AA525,3,1))</f>
        <v>0</v>
      </c>
      <c r="Y517" s="257"/>
      <c r="Z517" s="258"/>
      <c r="AA517" s="40">
        <f>IF(X517&gt;8,"1r",IF(X517&gt;6,"2n",IF(X517&gt;3,"3r",IF(X517&gt;2,"4t",))))</f>
        <v>0</v>
      </c>
    </row>
    <row r="518" spans="1:27" ht="6.75" customHeight="1" thickBo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3.5" customHeight="1" thickBot="1">
      <c r="A519" s="9" t="s">
        <v>11</v>
      </c>
      <c r="B519" s="9" t="s">
        <v>14</v>
      </c>
      <c r="C519" s="9" t="s">
        <v>4</v>
      </c>
      <c r="D519" s="262" t="s">
        <v>3</v>
      </c>
      <c r="E519" s="263"/>
      <c r="F519" s="264"/>
      <c r="G519" s="10"/>
      <c r="H519" s="259" t="s">
        <v>5</v>
      </c>
      <c r="I519" s="260"/>
      <c r="J519" s="261"/>
      <c r="K519" s="259" t="s">
        <v>7</v>
      </c>
      <c r="L519" s="260"/>
      <c r="M519" s="261"/>
      <c r="N519" s="259" t="s">
        <v>8</v>
      </c>
      <c r="O519" s="260"/>
      <c r="P519" s="261"/>
      <c r="Q519" s="259" t="s">
        <v>9</v>
      </c>
      <c r="R519" s="260"/>
      <c r="S519" s="261"/>
      <c r="T519" s="259" t="s">
        <v>10</v>
      </c>
      <c r="U519" s="260"/>
      <c r="V519" s="261"/>
      <c r="W519" s="10"/>
      <c r="X519" s="259" t="s">
        <v>12</v>
      </c>
      <c r="Y519" s="260"/>
      <c r="Z519" s="261"/>
      <c r="AA519" s="9" t="s">
        <v>13</v>
      </c>
    </row>
    <row r="520" spans="1:27" ht="13.5" customHeight="1" thickBot="1">
      <c r="A520" s="11"/>
      <c r="B520" s="29"/>
      <c r="C520" s="12">
        <v>3</v>
      </c>
      <c r="D520" s="13">
        <v>1</v>
      </c>
      <c r="E520" s="14" t="s">
        <v>6</v>
      </c>
      <c r="F520" s="15">
        <v>4</v>
      </c>
      <c r="G520" s="10"/>
      <c r="H520" s="95"/>
      <c r="I520" s="74"/>
      <c r="J520" s="96"/>
      <c r="K520" s="95"/>
      <c r="L520" s="74"/>
      <c r="M520" s="96"/>
      <c r="N520" s="95"/>
      <c r="O520" s="74"/>
      <c r="P520" s="96"/>
      <c r="Q520" s="26"/>
      <c r="R520" s="16" t="s">
        <v>6</v>
      </c>
      <c r="S520" s="23"/>
      <c r="T520" s="26"/>
      <c r="U520" s="16" t="s">
        <v>6</v>
      </c>
      <c r="V520" s="23"/>
      <c r="W520" s="10"/>
      <c r="X520" s="31">
        <f aca="true" t="shared" si="56" ref="X520:X525">IF(H520&gt;J520,1,0)+IF(K520&gt;M520,1,0)+IF(N520&gt;P520,1,0)+IF(Q520&gt;S520,1,0)+IF(T520&gt;V520,1,0)</f>
        <v>0</v>
      </c>
      <c r="Y520" s="16" t="s">
        <v>6</v>
      </c>
      <c r="Z520" s="33">
        <f aca="true" t="shared" si="57" ref="Z520:Z525">IF(H520&lt;J520,1,0)+IF(K520&lt;M520,1,0)+IF(N520&lt;P520,1,0)+IF(Q520&lt;S520,1,0)+IF(T520&lt;V520,1,0)</f>
        <v>0</v>
      </c>
      <c r="AA520" s="36">
        <f>IF(X520&gt;Z520,N514,IF(X520&lt;Z520,N517,0))</f>
        <v>0</v>
      </c>
    </row>
    <row r="521" spans="1:27" ht="13.5" customHeight="1" thickBot="1">
      <c r="A521" s="7"/>
      <c r="B521" s="30"/>
      <c r="C521" s="6">
        <v>1</v>
      </c>
      <c r="D521" s="3">
        <v>2</v>
      </c>
      <c r="E521" s="4" t="s">
        <v>6</v>
      </c>
      <c r="F521" s="5">
        <v>3</v>
      </c>
      <c r="G521"/>
      <c r="H521" s="95"/>
      <c r="I521" s="74"/>
      <c r="J521" s="96"/>
      <c r="K521" s="95"/>
      <c r="L521" s="74"/>
      <c r="M521" s="96"/>
      <c r="N521" s="95"/>
      <c r="O521" s="74"/>
      <c r="P521" s="96"/>
      <c r="Q521" s="27"/>
      <c r="R521" s="2" t="s">
        <v>6</v>
      </c>
      <c r="S521" s="24"/>
      <c r="T521" s="27"/>
      <c r="U521" s="2" t="s">
        <v>6</v>
      </c>
      <c r="V521" s="24"/>
      <c r="W521" s="1"/>
      <c r="X521" s="31">
        <f t="shared" si="56"/>
        <v>0</v>
      </c>
      <c r="Y521" s="2" t="s">
        <v>6</v>
      </c>
      <c r="Z521" s="33">
        <f t="shared" si="57"/>
        <v>0</v>
      </c>
      <c r="AA521" s="37">
        <f>IF(X521&gt;Z521,N515,IF(X521&lt;Z521,N516,0))</f>
        <v>0</v>
      </c>
    </row>
    <row r="522" spans="1:27" ht="13.5" customHeight="1" thickBot="1">
      <c r="A522" s="11"/>
      <c r="B522" s="29"/>
      <c r="C522" s="12">
        <v>4</v>
      </c>
      <c r="D522" s="13">
        <v>1</v>
      </c>
      <c r="E522" s="14" t="s">
        <v>6</v>
      </c>
      <c r="F522" s="15">
        <v>3</v>
      </c>
      <c r="G522" s="10"/>
      <c r="H522" s="95"/>
      <c r="I522" s="74"/>
      <c r="J522" s="96"/>
      <c r="K522" s="95"/>
      <c r="L522" s="74"/>
      <c r="M522" s="96"/>
      <c r="N522" s="95"/>
      <c r="O522" s="74"/>
      <c r="P522" s="96"/>
      <c r="Q522" s="26"/>
      <c r="R522" s="16" t="s">
        <v>6</v>
      </c>
      <c r="S522" s="23"/>
      <c r="T522" s="26"/>
      <c r="U522" s="16" t="s">
        <v>6</v>
      </c>
      <c r="V522" s="23"/>
      <c r="W522" s="10"/>
      <c r="X522" s="31">
        <f t="shared" si="56"/>
        <v>0</v>
      </c>
      <c r="Y522" s="16" t="s">
        <v>6</v>
      </c>
      <c r="Z522" s="33">
        <f t="shared" si="57"/>
        <v>0</v>
      </c>
      <c r="AA522" s="36">
        <f>IF(X522&gt;Z522,N514,IF(X522&lt;Z522,N516,0))</f>
        <v>0</v>
      </c>
    </row>
    <row r="523" spans="1:27" ht="13.5" customHeight="1" thickBot="1">
      <c r="A523" s="7"/>
      <c r="B523" s="30"/>
      <c r="C523" s="6">
        <v>3</v>
      </c>
      <c r="D523" s="3">
        <v>2</v>
      </c>
      <c r="E523" s="4" t="s">
        <v>6</v>
      </c>
      <c r="F523" s="5">
        <v>4</v>
      </c>
      <c r="G523"/>
      <c r="H523" s="95"/>
      <c r="I523" s="74"/>
      <c r="J523" s="96"/>
      <c r="K523" s="95"/>
      <c r="L523" s="74"/>
      <c r="M523" s="96"/>
      <c r="N523" s="95"/>
      <c r="O523" s="74"/>
      <c r="P523" s="96"/>
      <c r="Q523" s="27"/>
      <c r="R523" s="2" t="s">
        <v>6</v>
      </c>
      <c r="S523" s="24"/>
      <c r="T523" s="27"/>
      <c r="U523" s="2" t="s">
        <v>6</v>
      </c>
      <c r="V523" s="24"/>
      <c r="W523" s="1"/>
      <c r="X523" s="31">
        <f t="shared" si="56"/>
        <v>0</v>
      </c>
      <c r="Y523" s="2" t="s">
        <v>6</v>
      </c>
      <c r="Z523" s="33">
        <f t="shared" si="57"/>
        <v>0</v>
      </c>
      <c r="AA523" s="37">
        <f>IF(X523&gt;Z523,N515,IF(X523&lt;Z523,N517,0))</f>
        <v>0</v>
      </c>
    </row>
    <row r="524" spans="1:27" ht="13.5" customHeight="1" thickBot="1">
      <c r="A524" s="11"/>
      <c r="B524" s="29"/>
      <c r="C524" s="12">
        <v>4</v>
      </c>
      <c r="D524" s="13">
        <v>1</v>
      </c>
      <c r="E524" s="14" t="s">
        <v>6</v>
      </c>
      <c r="F524" s="15">
        <v>2</v>
      </c>
      <c r="G524" s="10"/>
      <c r="H524" s="95"/>
      <c r="I524" s="74"/>
      <c r="J524" s="96"/>
      <c r="K524" s="95"/>
      <c r="L524" s="74"/>
      <c r="M524" s="96"/>
      <c r="N524" s="95"/>
      <c r="O524" s="74"/>
      <c r="P524" s="96"/>
      <c r="Q524" s="26"/>
      <c r="R524" s="16" t="s">
        <v>6</v>
      </c>
      <c r="S524" s="23"/>
      <c r="T524" s="26"/>
      <c r="U524" s="16" t="s">
        <v>6</v>
      </c>
      <c r="V524" s="23"/>
      <c r="W524" s="10"/>
      <c r="X524" s="31">
        <f t="shared" si="56"/>
        <v>0</v>
      </c>
      <c r="Y524" s="16" t="s">
        <v>6</v>
      </c>
      <c r="Z524" s="33">
        <f t="shared" si="57"/>
        <v>0</v>
      </c>
      <c r="AA524" s="36">
        <f>IF(X524&gt;Z524,N514,IF(X524&lt;Z524,N515,0))</f>
        <v>0</v>
      </c>
    </row>
    <row r="525" spans="1:27" ht="13.5" customHeight="1" thickBot="1">
      <c r="A525" s="7"/>
      <c r="B525" s="30"/>
      <c r="C525" s="6">
        <v>2</v>
      </c>
      <c r="D525" s="3">
        <v>3</v>
      </c>
      <c r="E525" s="4" t="s">
        <v>6</v>
      </c>
      <c r="F525" s="5">
        <v>4</v>
      </c>
      <c r="G525"/>
      <c r="H525" s="95"/>
      <c r="I525" s="74"/>
      <c r="J525" s="96"/>
      <c r="K525" s="95"/>
      <c r="L525" s="74"/>
      <c r="M525" s="96"/>
      <c r="N525" s="95"/>
      <c r="O525" s="74"/>
      <c r="P525" s="96"/>
      <c r="Q525" s="28"/>
      <c r="R525" s="67" t="s">
        <v>6</v>
      </c>
      <c r="S525" s="25"/>
      <c r="T525" s="28"/>
      <c r="U525" s="67" t="s">
        <v>6</v>
      </c>
      <c r="V525" s="25"/>
      <c r="W525" s="1"/>
      <c r="X525" s="34">
        <f t="shared" si="56"/>
        <v>0</v>
      </c>
      <c r="Y525" s="67" t="s">
        <v>6</v>
      </c>
      <c r="Z525" s="35">
        <f t="shared" si="57"/>
        <v>0</v>
      </c>
      <c r="AA525" s="38">
        <f>IF(X525&gt;Z525,N516,IF(X525&lt;Z525,N517,0))</f>
        <v>0</v>
      </c>
    </row>
    <row r="526" spans="1:27" ht="13.5" thickBo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6.75" customHeight="1" thickBot="1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</row>
    <row r="528" spans="1:27" ht="13.5" thickBot="1">
      <c r="A528" s="22" t="s">
        <v>36</v>
      </c>
      <c r="B528" s="5">
        <v>31</v>
      </c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</row>
    <row r="529" spans="1:27" ht="6.75" customHeight="1" thickBo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3.5" thickBot="1">
      <c r="A530" s="240" t="s">
        <v>0</v>
      </c>
      <c r="B530" s="241"/>
      <c r="C530" s="242"/>
      <c r="D530" s="243"/>
      <c r="E530" s="243"/>
      <c r="F530"/>
      <c r="G530"/>
      <c r="H530"/>
      <c r="I530"/>
      <c r="J530"/>
      <c r="K530" s="240" t="s">
        <v>2</v>
      </c>
      <c r="L530" s="241"/>
      <c r="M530" s="241"/>
      <c r="N530" s="241" t="s">
        <v>1</v>
      </c>
      <c r="O530" s="241"/>
      <c r="P530" s="241"/>
      <c r="Q530" s="241"/>
      <c r="R530" s="241"/>
      <c r="S530" s="241"/>
      <c r="T530" s="241"/>
      <c r="U530" s="241"/>
      <c r="V530" s="242"/>
      <c r="W530"/>
      <c r="X530" s="246" t="s">
        <v>35</v>
      </c>
      <c r="Y530" s="247"/>
      <c r="Z530" s="248"/>
      <c r="AA530" s="12" t="s">
        <v>38</v>
      </c>
    </row>
    <row r="531" spans="1:27" ht="12.75">
      <c r="A531" s="249">
        <v>121</v>
      </c>
      <c r="B531" s="250"/>
      <c r="C531" s="251"/>
      <c r="D531" s="243"/>
      <c r="E531" s="243"/>
      <c r="F531" s="243"/>
      <c r="G531" s="243"/>
      <c r="H531" s="243"/>
      <c r="I531" s="243"/>
      <c r="J531"/>
      <c r="K531" s="252">
        <v>1</v>
      </c>
      <c r="L531" s="253"/>
      <c r="M531" s="253"/>
      <c r="N531" s="254">
        <f>VLOOKUP(A531,'[4]Inscripcions'!$A$7:$B$209,2)</f>
        <v>0</v>
      </c>
      <c r="O531" s="254"/>
      <c r="P531" s="254"/>
      <c r="Q531" s="254"/>
      <c r="R531" s="254"/>
      <c r="S531" s="254"/>
      <c r="T531" s="254"/>
      <c r="U531" s="254"/>
      <c r="V531" s="255"/>
      <c r="W531"/>
      <c r="X531" s="256">
        <f>IF(AA537=0,0,IF(N531=AA537,3,1))+IF(AA539=0,0,IF(N531=AA539,3,1))+IF(AA541=0,0,IF(N531=AA541,3,1))</f>
        <v>0</v>
      </c>
      <c r="Y531" s="257"/>
      <c r="Z531" s="258"/>
      <c r="AA531" s="39">
        <f>IF(X531&gt;8,"1r",IF(X531&gt;6,"2n",IF(X531&gt;3,"3r",IF(X531&gt;2,"4t",))))</f>
        <v>0</v>
      </c>
    </row>
    <row r="532" spans="1:27" ht="12.75">
      <c r="A532" s="249">
        <v>122</v>
      </c>
      <c r="B532" s="250"/>
      <c r="C532" s="251"/>
      <c r="D532" s="243"/>
      <c r="E532" s="243"/>
      <c r="F532" s="243"/>
      <c r="G532" s="243"/>
      <c r="H532" s="243"/>
      <c r="I532" s="243"/>
      <c r="J532"/>
      <c r="K532" s="244">
        <v>2</v>
      </c>
      <c r="L532" s="245"/>
      <c r="M532" s="245"/>
      <c r="N532" s="254">
        <f>VLOOKUP(A532,'[4]Inscripcions'!$A$7:$B$209,2)</f>
        <v>0</v>
      </c>
      <c r="O532" s="254"/>
      <c r="P532" s="254"/>
      <c r="Q532" s="254"/>
      <c r="R532" s="254"/>
      <c r="S532" s="254"/>
      <c r="T532" s="254"/>
      <c r="U532" s="254"/>
      <c r="V532" s="255"/>
      <c r="W532"/>
      <c r="X532" s="256">
        <f>IF(AA538=0,0,IF(N532=AA538,3,1))+IF(AA540=0,0,IF(N532=AA540,3,1))+IF(AA541=0,0,IF(N532=AA541,3,1))</f>
        <v>0</v>
      </c>
      <c r="Y532" s="257"/>
      <c r="Z532" s="258"/>
      <c r="AA532" s="40">
        <f>IF(X532&gt;8,"1r",IF(X532&gt;6,"2n",IF(X532&gt;3,"3r",IF(X532&gt;2,"4t",))))</f>
        <v>0</v>
      </c>
    </row>
    <row r="533" spans="1:27" ht="12.75">
      <c r="A533" s="249">
        <v>123</v>
      </c>
      <c r="B533" s="250"/>
      <c r="C533" s="251"/>
      <c r="D533" s="243"/>
      <c r="E533" s="243"/>
      <c r="F533" s="243"/>
      <c r="G533" s="243"/>
      <c r="H533" s="243"/>
      <c r="I533" s="243"/>
      <c r="J533"/>
      <c r="K533" s="244">
        <v>3</v>
      </c>
      <c r="L533" s="245"/>
      <c r="M533" s="245"/>
      <c r="N533" s="254">
        <f>VLOOKUP(A533,'[4]Inscripcions'!$A$7:$B$209,2)</f>
        <v>0</v>
      </c>
      <c r="O533" s="254"/>
      <c r="P533" s="254"/>
      <c r="Q533" s="254"/>
      <c r="R533" s="254"/>
      <c r="S533" s="254"/>
      <c r="T533" s="254"/>
      <c r="U533" s="254"/>
      <c r="V533" s="255"/>
      <c r="W533"/>
      <c r="X533" s="256">
        <f>IF(AA538=0,0,IF(N533=AA538,3,1))+IF(AA539=0,0,IF(N533=AA539,3,1))+IF(AA542=0,0,IF(N533=AA542,3,1))</f>
        <v>0</v>
      </c>
      <c r="Y533" s="257"/>
      <c r="Z533" s="258"/>
      <c r="AA533" s="40">
        <f>IF(X533&gt;8,"1r",IF(X533&gt;6,"2n",IF(X533&gt;3,"3r",IF(X533&gt;2,"4t",))))</f>
        <v>0</v>
      </c>
    </row>
    <row r="534" spans="1:27" ht="12.75">
      <c r="A534" s="249">
        <v>124</v>
      </c>
      <c r="B534" s="250"/>
      <c r="C534" s="251"/>
      <c r="D534" s="243"/>
      <c r="E534" s="243"/>
      <c r="F534" s="243"/>
      <c r="G534" s="243"/>
      <c r="H534" s="243"/>
      <c r="I534" s="243"/>
      <c r="J534"/>
      <c r="K534" s="244">
        <v>4</v>
      </c>
      <c r="L534" s="245"/>
      <c r="M534" s="245"/>
      <c r="N534" s="254">
        <f>VLOOKUP(A534,'[4]Inscripcions'!$A$7:$B$209,2)</f>
        <v>0</v>
      </c>
      <c r="O534" s="254"/>
      <c r="P534" s="254"/>
      <c r="Q534" s="254"/>
      <c r="R534" s="254"/>
      <c r="S534" s="254"/>
      <c r="T534" s="254"/>
      <c r="U534" s="254"/>
      <c r="V534" s="255"/>
      <c r="W534"/>
      <c r="X534" s="256">
        <f>IF(AA537=0,0,IF(N534=AA537,3,1))+IF(AA540=0,0,IF(N534=AA540,3,1))+IF(AA542=0,0,IF(N534=AA542,3,1))</f>
        <v>0</v>
      </c>
      <c r="Y534" s="257"/>
      <c r="Z534" s="258"/>
      <c r="AA534" s="40">
        <f>IF(X534&gt;8,"1r",IF(X534&gt;6,"2n",IF(X534&gt;3,"3r",IF(X534&gt;2,"4t",))))</f>
        <v>0</v>
      </c>
    </row>
    <row r="535" spans="1:27" ht="6.75" customHeight="1" thickBo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3.5" customHeight="1" thickBot="1">
      <c r="A536" s="9" t="s">
        <v>11</v>
      </c>
      <c r="B536" s="9" t="s">
        <v>14</v>
      </c>
      <c r="C536" s="9" t="s">
        <v>4</v>
      </c>
      <c r="D536" s="262" t="s">
        <v>3</v>
      </c>
      <c r="E536" s="263"/>
      <c r="F536" s="264"/>
      <c r="G536" s="10"/>
      <c r="H536" s="259" t="s">
        <v>5</v>
      </c>
      <c r="I536" s="260"/>
      <c r="J536" s="261"/>
      <c r="K536" s="259" t="s">
        <v>7</v>
      </c>
      <c r="L536" s="260"/>
      <c r="M536" s="261"/>
      <c r="N536" s="259" t="s">
        <v>8</v>
      </c>
      <c r="O536" s="260"/>
      <c r="P536" s="261"/>
      <c r="Q536" s="259" t="s">
        <v>9</v>
      </c>
      <c r="R536" s="260"/>
      <c r="S536" s="261"/>
      <c r="T536" s="259" t="s">
        <v>10</v>
      </c>
      <c r="U536" s="260"/>
      <c r="V536" s="261"/>
      <c r="W536" s="10"/>
      <c r="X536" s="259" t="s">
        <v>12</v>
      </c>
      <c r="Y536" s="260"/>
      <c r="Z536" s="261"/>
      <c r="AA536" s="9" t="s">
        <v>13</v>
      </c>
    </row>
    <row r="537" spans="1:27" ht="13.5" customHeight="1" thickBot="1">
      <c r="A537" s="11"/>
      <c r="B537" s="29"/>
      <c r="C537" s="12">
        <v>3</v>
      </c>
      <c r="D537" s="13">
        <v>1</v>
      </c>
      <c r="E537" s="14" t="s">
        <v>6</v>
      </c>
      <c r="F537" s="15">
        <v>4</v>
      </c>
      <c r="G537" s="10"/>
      <c r="H537" s="95"/>
      <c r="I537" s="74"/>
      <c r="J537" s="96"/>
      <c r="K537" s="95"/>
      <c r="L537" s="74"/>
      <c r="M537" s="96"/>
      <c r="N537" s="95"/>
      <c r="O537" s="74"/>
      <c r="P537" s="96"/>
      <c r="Q537" s="26"/>
      <c r="R537" s="16" t="s">
        <v>6</v>
      </c>
      <c r="S537" s="23"/>
      <c r="T537" s="26"/>
      <c r="U537" s="16" t="s">
        <v>6</v>
      </c>
      <c r="V537" s="23"/>
      <c r="W537" s="10"/>
      <c r="X537" s="31">
        <f aca="true" t="shared" si="58" ref="X537:X542">IF(H537&gt;J537,1,0)+IF(K537&gt;M537,1,0)+IF(N537&gt;P537,1,0)+IF(Q537&gt;S537,1,0)+IF(T537&gt;V537,1,0)</f>
        <v>0</v>
      </c>
      <c r="Y537" s="16" t="s">
        <v>6</v>
      </c>
      <c r="Z537" s="33">
        <f aca="true" t="shared" si="59" ref="Z537:Z542">IF(H537&lt;J537,1,0)+IF(K537&lt;M537,1,0)+IF(N537&lt;P537,1,0)+IF(Q537&lt;S537,1,0)+IF(T537&lt;V537,1,0)</f>
        <v>0</v>
      </c>
      <c r="AA537" s="36">
        <f>IF(X537&gt;Z537,N531,IF(X537&lt;Z537,N534,0))</f>
        <v>0</v>
      </c>
    </row>
    <row r="538" spans="1:27" ht="13.5" customHeight="1" thickBot="1">
      <c r="A538" s="7"/>
      <c r="B538" s="30"/>
      <c r="C538" s="6">
        <v>1</v>
      </c>
      <c r="D538" s="3">
        <v>2</v>
      </c>
      <c r="E538" s="4" t="s">
        <v>6</v>
      </c>
      <c r="F538" s="5">
        <v>3</v>
      </c>
      <c r="G538"/>
      <c r="H538" s="95"/>
      <c r="I538" s="74"/>
      <c r="J538" s="96"/>
      <c r="K538" s="95"/>
      <c r="L538" s="74"/>
      <c r="M538" s="96"/>
      <c r="N538" s="95"/>
      <c r="O538" s="74"/>
      <c r="P538" s="96"/>
      <c r="Q538" s="27"/>
      <c r="R538" s="2" t="s">
        <v>6</v>
      </c>
      <c r="S538" s="24"/>
      <c r="T538" s="27"/>
      <c r="U538" s="2" t="s">
        <v>6</v>
      </c>
      <c r="V538" s="24"/>
      <c r="W538" s="1"/>
      <c r="X538" s="31">
        <f t="shared" si="58"/>
        <v>0</v>
      </c>
      <c r="Y538" s="2" t="s">
        <v>6</v>
      </c>
      <c r="Z538" s="33">
        <f t="shared" si="59"/>
        <v>0</v>
      </c>
      <c r="AA538" s="37">
        <f>IF(X538&gt;Z538,N532,IF(X538&lt;Z538,N533,0))</f>
        <v>0</v>
      </c>
    </row>
    <row r="539" spans="1:27" ht="13.5" customHeight="1" thickBot="1">
      <c r="A539" s="11"/>
      <c r="B539" s="29"/>
      <c r="C539" s="12">
        <v>4</v>
      </c>
      <c r="D539" s="13">
        <v>1</v>
      </c>
      <c r="E539" s="14" t="s">
        <v>6</v>
      </c>
      <c r="F539" s="15">
        <v>3</v>
      </c>
      <c r="G539" s="10"/>
      <c r="H539" s="95"/>
      <c r="I539" s="74"/>
      <c r="J539" s="96"/>
      <c r="K539" s="95"/>
      <c r="L539" s="74"/>
      <c r="M539" s="96"/>
      <c r="N539" s="95"/>
      <c r="O539" s="74"/>
      <c r="P539" s="96"/>
      <c r="Q539" s="26"/>
      <c r="R539" s="16" t="s">
        <v>6</v>
      </c>
      <c r="S539" s="23"/>
      <c r="T539" s="26"/>
      <c r="U539" s="16" t="s">
        <v>6</v>
      </c>
      <c r="V539" s="23"/>
      <c r="W539" s="10"/>
      <c r="X539" s="31">
        <f t="shared" si="58"/>
        <v>0</v>
      </c>
      <c r="Y539" s="16" t="s">
        <v>6</v>
      </c>
      <c r="Z539" s="33">
        <f t="shared" si="59"/>
        <v>0</v>
      </c>
      <c r="AA539" s="36">
        <f>IF(X539&gt;Z539,N531,IF(X539&lt;Z539,N533,0))</f>
        <v>0</v>
      </c>
    </row>
    <row r="540" spans="1:27" ht="13.5" customHeight="1" thickBot="1">
      <c r="A540" s="7"/>
      <c r="B540" s="30"/>
      <c r="C540" s="6">
        <v>3</v>
      </c>
      <c r="D540" s="3">
        <v>2</v>
      </c>
      <c r="E540" s="4" t="s">
        <v>6</v>
      </c>
      <c r="F540" s="5">
        <v>4</v>
      </c>
      <c r="G540"/>
      <c r="H540" s="95"/>
      <c r="I540" s="74"/>
      <c r="J540" s="96"/>
      <c r="K540" s="95"/>
      <c r="L540" s="74"/>
      <c r="M540" s="96"/>
      <c r="N540" s="95"/>
      <c r="O540" s="74"/>
      <c r="P540" s="96"/>
      <c r="Q540" s="27"/>
      <c r="R540" s="2" t="s">
        <v>6</v>
      </c>
      <c r="S540" s="24"/>
      <c r="T540" s="27"/>
      <c r="U540" s="2" t="s">
        <v>6</v>
      </c>
      <c r="V540" s="24"/>
      <c r="W540" s="1"/>
      <c r="X540" s="31">
        <f t="shared" si="58"/>
        <v>0</v>
      </c>
      <c r="Y540" s="2" t="s">
        <v>6</v>
      </c>
      <c r="Z540" s="33">
        <f t="shared" si="59"/>
        <v>0</v>
      </c>
      <c r="AA540" s="37">
        <f>IF(X540&gt;Z540,N532,IF(X540&lt;Z540,N534,0))</f>
        <v>0</v>
      </c>
    </row>
    <row r="541" spans="1:27" ht="13.5" customHeight="1" thickBot="1">
      <c r="A541" s="11"/>
      <c r="B541" s="29"/>
      <c r="C541" s="12">
        <v>4</v>
      </c>
      <c r="D541" s="13">
        <v>1</v>
      </c>
      <c r="E541" s="14" t="s">
        <v>6</v>
      </c>
      <c r="F541" s="15">
        <v>2</v>
      </c>
      <c r="G541" s="10"/>
      <c r="H541" s="95"/>
      <c r="I541" s="74"/>
      <c r="J541" s="96"/>
      <c r="K541" s="95"/>
      <c r="L541" s="74"/>
      <c r="M541" s="96"/>
      <c r="N541" s="95"/>
      <c r="O541" s="74"/>
      <c r="P541" s="96"/>
      <c r="Q541" s="26"/>
      <c r="R541" s="16" t="s">
        <v>6</v>
      </c>
      <c r="S541" s="23"/>
      <c r="T541" s="26"/>
      <c r="U541" s="16" t="s">
        <v>6</v>
      </c>
      <c r="V541" s="23"/>
      <c r="W541" s="10"/>
      <c r="X541" s="31">
        <f t="shared" si="58"/>
        <v>0</v>
      </c>
      <c r="Y541" s="16" t="s">
        <v>6</v>
      </c>
      <c r="Z541" s="33">
        <f t="shared" si="59"/>
        <v>0</v>
      </c>
      <c r="AA541" s="36">
        <f>IF(X541&gt;Z541,N531,IF(X541&lt;Z541,N532,0))</f>
        <v>0</v>
      </c>
    </row>
    <row r="542" spans="1:27" ht="13.5" customHeight="1" thickBot="1">
      <c r="A542" s="7"/>
      <c r="B542" s="30"/>
      <c r="C542" s="6">
        <v>2</v>
      </c>
      <c r="D542" s="3">
        <v>3</v>
      </c>
      <c r="E542" s="4" t="s">
        <v>6</v>
      </c>
      <c r="F542" s="5">
        <v>4</v>
      </c>
      <c r="G542"/>
      <c r="H542" s="95"/>
      <c r="I542" s="74"/>
      <c r="J542" s="96"/>
      <c r="K542" s="95"/>
      <c r="L542" s="74"/>
      <c r="M542" s="96"/>
      <c r="N542" s="95"/>
      <c r="O542" s="74"/>
      <c r="P542" s="96"/>
      <c r="Q542" s="28"/>
      <c r="R542" s="67" t="s">
        <v>6</v>
      </c>
      <c r="S542" s="25"/>
      <c r="T542" s="28"/>
      <c r="U542" s="67" t="s">
        <v>6</v>
      </c>
      <c r="V542" s="25"/>
      <c r="W542" s="1"/>
      <c r="X542" s="34">
        <f t="shared" si="58"/>
        <v>0</v>
      </c>
      <c r="Y542" s="67" t="s">
        <v>6</v>
      </c>
      <c r="Z542" s="35">
        <f t="shared" si="59"/>
        <v>0</v>
      </c>
      <c r="AA542" s="38">
        <f>IF(X542&gt;Z542,N533,IF(X542&lt;Z542,N534,0))</f>
        <v>0</v>
      </c>
    </row>
    <row r="543" spans="1:27" ht="13.5" thickBo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</row>
    <row r="544" spans="1:27" ht="6.75" customHeight="1" thickBot="1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</row>
    <row r="545" spans="1:27" ht="13.5" thickBot="1">
      <c r="A545" s="22" t="s">
        <v>36</v>
      </c>
      <c r="B545" s="5">
        <v>32</v>
      </c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6.75" customHeight="1" thickBo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1:27" ht="13.5" thickBot="1">
      <c r="A547" s="240" t="s">
        <v>0</v>
      </c>
      <c r="B547" s="241"/>
      <c r="C547" s="242"/>
      <c r="D547" s="243"/>
      <c r="E547" s="243"/>
      <c r="F547"/>
      <c r="G547"/>
      <c r="H547"/>
      <c r="I547"/>
      <c r="J547"/>
      <c r="K547" s="240" t="s">
        <v>2</v>
      </c>
      <c r="L547" s="241"/>
      <c r="M547" s="241"/>
      <c r="N547" s="241" t="s">
        <v>1</v>
      </c>
      <c r="O547" s="241"/>
      <c r="P547" s="241"/>
      <c r="Q547" s="241"/>
      <c r="R547" s="241"/>
      <c r="S547" s="241"/>
      <c r="T547" s="241"/>
      <c r="U547" s="241"/>
      <c r="V547" s="242"/>
      <c r="W547"/>
      <c r="X547" s="246" t="s">
        <v>35</v>
      </c>
      <c r="Y547" s="247"/>
      <c r="Z547" s="248"/>
      <c r="AA547" s="12" t="s">
        <v>38</v>
      </c>
    </row>
    <row r="548" spans="1:27" ht="12.75">
      <c r="A548" s="249">
        <v>125</v>
      </c>
      <c r="B548" s="250"/>
      <c r="C548" s="251"/>
      <c r="D548" s="243"/>
      <c r="E548" s="243"/>
      <c r="F548" s="243"/>
      <c r="G548" s="243"/>
      <c r="H548" s="243"/>
      <c r="I548" s="243"/>
      <c r="J548"/>
      <c r="K548" s="252">
        <v>1</v>
      </c>
      <c r="L548" s="253"/>
      <c r="M548" s="253"/>
      <c r="N548" s="254">
        <f>VLOOKUP(A548,'[4]Inscripcions'!$A$7:$B$209,2)</f>
        <v>0</v>
      </c>
      <c r="O548" s="254"/>
      <c r="P548" s="254"/>
      <c r="Q548" s="254"/>
      <c r="R548" s="254"/>
      <c r="S548" s="254"/>
      <c r="T548" s="254"/>
      <c r="U548" s="254"/>
      <c r="V548" s="255"/>
      <c r="W548"/>
      <c r="X548" s="256">
        <f>IF(AA554=0,0,IF(N548=AA554,3,1))+IF(AA556=0,0,IF(N548=AA556,3,1))+IF(AA558=0,0,IF(N548=AA558,3,1))</f>
        <v>0</v>
      </c>
      <c r="Y548" s="257"/>
      <c r="Z548" s="258"/>
      <c r="AA548" s="39">
        <f>IF(X548&gt;8,"1r",IF(X548&gt;6,"2n",IF(X548&gt;3,"3r",IF(X548&gt;2,"4t",))))</f>
        <v>0</v>
      </c>
    </row>
    <row r="549" spans="1:27" ht="12.75">
      <c r="A549" s="249">
        <v>126</v>
      </c>
      <c r="B549" s="250"/>
      <c r="C549" s="251"/>
      <c r="D549" s="243"/>
      <c r="E549" s="243"/>
      <c r="F549" s="243"/>
      <c r="G549" s="243"/>
      <c r="H549" s="243"/>
      <c r="I549" s="243"/>
      <c r="J549"/>
      <c r="K549" s="244">
        <v>2</v>
      </c>
      <c r="L549" s="245"/>
      <c r="M549" s="245"/>
      <c r="N549" s="254">
        <f>VLOOKUP(A549,'[4]Inscripcions'!$A$7:$B$209,2)</f>
        <v>0</v>
      </c>
      <c r="O549" s="254"/>
      <c r="P549" s="254"/>
      <c r="Q549" s="254"/>
      <c r="R549" s="254"/>
      <c r="S549" s="254"/>
      <c r="T549" s="254"/>
      <c r="U549" s="254"/>
      <c r="V549" s="255"/>
      <c r="W549"/>
      <c r="X549" s="256">
        <f>IF(AA555=0,0,IF(N549=AA555,3,1))+IF(AA557=0,0,IF(N549=AA557,3,1))+IF(AA558=0,0,IF(N549=AA558,3,1))</f>
        <v>0</v>
      </c>
      <c r="Y549" s="257"/>
      <c r="Z549" s="258"/>
      <c r="AA549" s="40">
        <f>IF(X549&gt;8,"1r",IF(X549&gt;6,"2n",IF(X549&gt;3,"3r",IF(X549&gt;2,"4t",))))</f>
        <v>0</v>
      </c>
    </row>
    <row r="550" spans="1:27" ht="12.75">
      <c r="A550" s="249">
        <v>127</v>
      </c>
      <c r="B550" s="250"/>
      <c r="C550" s="251"/>
      <c r="D550" s="243"/>
      <c r="E550" s="243"/>
      <c r="F550" s="243"/>
      <c r="G550" s="243"/>
      <c r="H550" s="243"/>
      <c r="I550" s="243"/>
      <c r="J550"/>
      <c r="K550" s="244">
        <v>3</v>
      </c>
      <c r="L550" s="245"/>
      <c r="M550" s="245"/>
      <c r="N550" s="254">
        <f>VLOOKUP(A550,'[4]Inscripcions'!$A$7:$B$209,2)</f>
        <v>0</v>
      </c>
      <c r="O550" s="254"/>
      <c r="P550" s="254"/>
      <c r="Q550" s="254"/>
      <c r="R550" s="254"/>
      <c r="S550" s="254"/>
      <c r="T550" s="254"/>
      <c r="U550" s="254"/>
      <c r="V550" s="255"/>
      <c r="W550"/>
      <c r="X550" s="256">
        <f>IF(AA555=0,0,IF(N550=AA555,3,1))+IF(AA556=0,0,IF(N550=AA556,3,1))+IF(AA559=0,0,IF(N550=AA559,3,1))</f>
        <v>0</v>
      </c>
      <c r="Y550" s="257"/>
      <c r="Z550" s="258"/>
      <c r="AA550" s="40">
        <f>IF(X550&gt;8,"1r",IF(X550&gt;6,"2n",IF(X550&gt;3,"3r",IF(X550&gt;2,"4t",))))</f>
        <v>0</v>
      </c>
    </row>
    <row r="551" spans="1:27" ht="12.75">
      <c r="A551" s="249">
        <v>128</v>
      </c>
      <c r="B551" s="250"/>
      <c r="C551" s="251"/>
      <c r="D551" s="243"/>
      <c r="E551" s="243"/>
      <c r="F551" s="243"/>
      <c r="G551" s="243"/>
      <c r="H551" s="243"/>
      <c r="I551" s="243"/>
      <c r="J551"/>
      <c r="K551" s="244">
        <v>4</v>
      </c>
      <c r="L551" s="245"/>
      <c r="M551" s="245"/>
      <c r="N551" s="254">
        <f>VLOOKUP(A551,'[4]Inscripcions'!$A$7:$B$209,2)</f>
        <v>0</v>
      </c>
      <c r="O551" s="254"/>
      <c r="P551" s="254"/>
      <c r="Q551" s="254"/>
      <c r="R551" s="254"/>
      <c r="S551" s="254"/>
      <c r="T551" s="254"/>
      <c r="U551" s="254"/>
      <c r="V551" s="255"/>
      <c r="W551"/>
      <c r="X551" s="256">
        <f>IF(AA554=0,0,IF(N551=AA554,3,1))+IF(AA557=0,0,IF(N551=AA557,3,1))+IF(AA559=0,0,IF(N551=AA559,3,1))</f>
        <v>0</v>
      </c>
      <c r="Y551" s="257"/>
      <c r="Z551" s="258"/>
      <c r="AA551" s="40">
        <f>IF(X551&gt;8,"1r",IF(X551&gt;6,"2n",IF(X551&gt;3,"3r",IF(X551&gt;2,"4t",))))</f>
        <v>0</v>
      </c>
    </row>
    <row r="552" spans="1:27" ht="6.75" customHeight="1" thickBo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1:27" ht="13.5" customHeight="1" thickBot="1">
      <c r="A553" s="9" t="s">
        <v>11</v>
      </c>
      <c r="B553" s="9" t="s">
        <v>14</v>
      </c>
      <c r="C553" s="9" t="s">
        <v>4</v>
      </c>
      <c r="D553" s="262" t="s">
        <v>3</v>
      </c>
      <c r="E553" s="263"/>
      <c r="F553" s="264"/>
      <c r="G553" s="10"/>
      <c r="H553" s="259" t="s">
        <v>5</v>
      </c>
      <c r="I553" s="260"/>
      <c r="J553" s="261"/>
      <c r="K553" s="259" t="s">
        <v>7</v>
      </c>
      <c r="L553" s="260"/>
      <c r="M553" s="261"/>
      <c r="N553" s="259" t="s">
        <v>8</v>
      </c>
      <c r="O553" s="260"/>
      <c r="P553" s="261"/>
      <c r="Q553" s="259" t="s">
        <v>9</v>
      </c>
      <c r="R553" s="260"/>
      <c r="S553" s="261"/>
      <c r="T553" s="259" t="s">
        <v>10</v>
      </c>
      <c r="U553" s="260"/>
      <c r="V553" s="261"/>
      <c r="W553" s="10"/>
      <c r="X553" s="259" t="s">
        <v>12</v>
      </c>
      <c r="Y553" s="260"/>
      <c r="Z553" s="261"/>
      <c r="AA553" s="9" t="s">
        <v>13</v>
      </c>
    </row>
    <row r="554" spans="1:27" ht="13.5" customHeight="1" thickBot="1">
      <c r="A554" s="11"/>
      <c r="B554" s="29"/>
      <c r="C554" s="12">
        <v>3</v>
      </c>
      <c r="D554" s="13">
        <v>1</v>
      </c>
      <c r="E554" s="14" t="s">
        <v>6</v>
      </c>
      <c r="F554" s="15">
        <v>4</v>
      </c>
      <c r="G554" s="10"/>
      <c r="H554" s="95"/>
      <c r="I554" s="74"/>
      <c r="J554" s="96"/>
      <c r="K554" s="95"/>
      <c r="L554" s="74"/>
      <c r="M554" s="96"/>
      <c r="N554" s="95"/>
      <c r="O554" s="74"/>
      <c r="P554" s="96"/>
      <c r="Q554" s="26"/>
      <c r="R554" s="16" t="s">
        <v>6</v>
      </c>
      <c r="S554" s="23"/>
      <c r="T554" s="26"/>
      <c r="U554" s="16" t="s">
        <v>6</v>
      </c>
      <c r="V554" s="23"/>
      <c r="W554" s="10"/>
      <c r="X554" s="31">
        <f aca="true" t="shared" si="60" ref="X554:X559">IF(H554&gt;J554,1,0)+IF(K554&gt;M554,1,0)+IF(N554&gt;P554,1,0)+IF(Q554&gt;S554,1,0)+IF(T554&gt;V554,1,0)</f>
        <v>0</v>
      </c>
      <c r="Y554" s="16" t="s">
        <v>6</v>
      </c>
      <c r="Z554" s="33">
        <f aca="true" t="shared" si="61" ref="Z554:Z559">IF(H554&lt;J554,1,0)+IF(K554&lt;M554,1,0)+IF(N554&lt;P554,1,0)+IF(Q554&lt;S554,1,0)+IF(T554&lt;V554,1,0)</f>
        <v>0</v>
      </c>
      <c r="AA554" s="36">
        <f>IF(X554&gt;Z554,N548,IF(X554&lt;Z554,N551,0))</f>
        <v>0</v>
      </c>
    </row>
    <row r="555" spans="1:27" ht="13.5" customHeight="1" thickBot="1">
      <c r="A555" s="7"/>
      <c r="B555" s="30"/>
      <c r="C555" s="6">
        <v>1</v>
      </c>
      <c r="D555" s="3">
        <v>2</v>
      </c>
      <c r="E555" s="4" t="s">
        <v>6</v>
      </c>
      <c r="F555" s="5">
        <v>3</v>
      </c>
      <c r="G555"/>
      <c r="H555" s="95"/>
      <c r="I555" s="74"/>
      <c r="J555" s="96"/>
      <c r="K555" s="95"/>
      <c r="L555" s="74"/>
      <c r="M555" s="96"/>
      <c r="N555" s="95"/>
      <c r="O555" s="74"/>
      <c r="P555" s="96"/>
      <c r="Q555" s="27"/>
      <c r="R555" s="2" t="s">
        <v>6</v>
      </c>
      <c r="S555" s="24"/>
      <c r="T555" s="27"/>
      <c r="U555" s="2" t="s">
        <v>6</v>
      </c>
      <c r="V555" s="24"/>
      <c r="W555" s="1"/>
      <c r="X555" s="31">
        <f t="shared" si="60"/>
        <v>0</v>
      </c>
      <c r="Y555" s="2" t="s">
        <v>6</v>
      </c>
      <c r="Z555" s="33">
        <f t="shared" si="61"/>
        <v>0</v>
      </c>
      <c r="AA555" s="37">
        <f>IF(X555&gt;Z555,N549,IF(X555&lt;Z555,N550,0))</f>
        <v>0</v>
      </c>
    </row>
    <row r="556" spans="1:27" ht="13.5" customHeight="1" thickBot="1">
      <c r="A556" s="11"/>
      <c r="B556" s="29"/>
      <c r="C556" s="12">
        <v>4</v>
      </c>
      <c r="D556" s="13">
        <v>1</v>
      </c>
      <c r="E556" s="14" t="s">
        <v>6</v>
      </c>
      <c r="F556" s="15">
        <v>3</v>
      </c>
      <c r="G556" s="10"/>
      <c r="H556" s="95"/>
      <c r="I556" s="74"/>
      <c r="J556" s="96"/>
      <c r="K556" s="95"/>
      <c r="L556" s="74"/>
      <c r="M556" s="96"/>
      <c r="N556" s="95"/>
      <c r="O556" s="74"/>
      <c r="P556" s="96"/>
      <c r="Q556" s="26"/>
      <c r="R556" s="16" t="s">
        <v>6</v>
      </c>
      <c r="S556" s="23"/>
      <c r="T556" s="26"/>
      <c r="U556" s="16" t="s">
        <v>6</v>
      </c>
      <c r="V556" s="23"/>
      <c r="W556" s="10"/>
      <c r="X556" s="31">
        <f t="shared" si="60"/>
        <v>0</v>
      </c>
      <c r="Y556" s="16" t="s">
        <v>6</v>
      </c>
      <c r="Z556" s="33">
        <f t="shared" si="61"/>
        <v>0</v>
      </c>
      <c r="AA556" s="36">
        <f>IF(X556&gt;Z556,N548,IF(X556&lt;Z556,N550,0))</f>
        <v>0</v>
      </c>
    </row>
    <row r="557" spans="1:27" ht="13.5" customHeight="1" thickBot="1">
      <c r="A557" s="7"/>
      <c r="B557" s="30"/>
      <c r="C557" s="6">
        <v>3</v>
      </c>
      <c r="D557" s="3">
        <v>2</v>
      </c>
      <c r="E557" s="4" t="s">
        <v>6</v>
      </c>
      <c r="F557" s="5">
        <v>4</v>
      </c>
      <c r="G557"/>
      <c r="H557" s="95"/>
      <c r="I557" s="74"/>
      <c r="J557" s="96"/>
      <c r="K557" s="95"/>
      <c r="L557" s="74"/>
      <c r="M557" s="96"/>
      <c r="N557" s="95"/>
      <c r="O557" s="74"/>
      <c r="P557" s="96"/>
      <c r="Q557" s="27"/>
      <c r="R557" s="2" t="s">
        <v>6</v>
      </c>
      <c r="S557" s="24"/>
      <c r="T557" s="27"/>
      <c r="U557" s="2" t="s">
        <v>6</v>
      </c>
      <c r="V557" s="24"/>
      <c r="W557" s="1"/>
      <c r="X557" s="31">
        <f t="shared" si="60"/>
        <v>0</v>
      </c>
      <c r="Y557" s="2" t="s">
        <v>6</v>
      </c>
      <c r="Z557" s="33">
        <f t="shared" si="61"/>
        <v>0</v>
      </c>
      <c r="AA557" s="37">
        <f>IF(X557&gt;Z557,N549,IF(X557&lt;Z557,N551,0))</f>
        <v>0</v>
      </c>
    </row>
    <row r="558" spans="1:27" ht="13.5" customHeight="1" thickBot="1">
      <c r="A558" s="11"/>
      <c r="B558" s="29"/>
      <c r="C558" s="12">
        <v>4</v>
      </c>
      <c r="D558" s="13">
        <v>1</v>
      </c>
      <c r="E558" s="14" t="s">
        <v>6</v>
      </c>
      <c r="F558" s="15">
        <v>2</v>
      </c>
      <c r="G558" s="10"/>
      <c r="H558" s="95"/>
      <c r="I558" s="74"/>
      <c r="J558" s="96"/>
      <c r="K558" s="95"/>
      <c r="L558" s="74"/>
      <c r="M558" s="96"/>
      <c r="N558" s="95"/>
      <c r="O558" s="74"/>
      <c r="P558" s="96"/>
      <c r="Q558" s="26"/>
      <c r="R558" s="16" t="s">
        <v>6</v>
      </c>
      <c r="S558" s="23"/>
      <c r="T558" s="26"/>
      <c r="U558" s="16" t="s">
        <v>6</v>
      </c>
      <c r="V558" s="23"/>
      <c r="W558" s="10"/>
      <c r="X558" s="31">
        <f t="shared" si="60"/>
        <v>0</v>
      </c>
      <c r="Y558" s="16" t="s">
        <v>6</v>
      </c>
      <c r="Z558" s="33">
        <f t="shared" si="61"/>
        <v>0</v>
      </c>
      <c r="AA558" s="36">
        <f>IF(X558&gt;Z558,N548,IF(X558&lt;Z558,N549,0))</f>
        <v>0</v>
      </c>
    </row>
    <row r="559" spans="1:27" ht="13.5" customHeight="1" thickBot="1">
      <c r="A559" s="7"/>
      <c r="B559" s="30"/>
      <c r="C559" s="6">
        <v>2</v>
      </c>
      <c r="D559" s="3">
        <v>3</v>
      </c>
      <c r="E559" s="4" t="s">
        <v>6</v>
      </c>
      <c r="F559" s="5">
        <v>4</v>
      </c>
      <c r="G559"/>
      <c r="H559" s="95"/>
      <c r="I559" s="74"/>
      <c r="J559" s="96"/>
      <c r="K559" s="95"/>
      <c r="L559" s="74"/>
      <c r="M559" s="96"/>
      <c r="N559" s="95"/>
      <c r="O559" s="74"/>
      <c r="P559" s="96"/>
      <c r="Q559" s="28"/>
      <c r="R559" s="67" t="s">
        <v>6</v>
      </c>
      <c r="S559" s="25"/>
      <c r="T559" s="28"/>
      <c r="U559" s="67" t="s">
        <v>6</v>
      </c>
      <c r="V559" s="25"/>
      <c r="W559" s="1"/>
      <c r="X559" s="34">
        <f t="shared" si="60"/>
        <v>0</v>
      </c>
      <c r="Y559" s="67" t="s">
        <v>6</v>
      </c>
      <c r="Z559" s="35">
        <f t="shared" si="61"/>
        <v>0</v>
      </c>
      <c r="AA559" s="38">
        <f>IF(X559&gt;Z559,N550,IF(X559&lt;Z559,N551,0))</f>
        <v>0</v>
      </c>
    </row>
  </sheetData>
  <sheetProtection/>
  <mergeCells count="1179">
    <mergeCell ref="AA367:AI367"/>
    <mergeCell ref="A496:C496"/>
    <mergeCell ref="D496:E496"/>
    <mergeCell ref="K496:M496"/>
    <mergeCell ref="N496:V496"/>
    <mergeCell ref="F498:I498"/>
    <mergeCell ref="K498:M498"/>
    <mergeCell ref="N498:V498"/>
    <mergeCell ref="X485:Z485"/>
    <mergeCell ref="D485:F485"/>
    <mergeCell ref="X499:Z499"/>
    <mergeCell ref="A498:C498"/>
    <mergeCell ref="D498:E498"/>
    <mergeCell ref="X496:Z496"/>
    <mergeCell ref="A497:C497"/>
    <mergeCell ref="D497:E497"/>
    <mergeCell ref="F497:I497"/>
    <mergeCell ref="K497:M497"/>
    <mergeCell ref="N497:V497"/>
    <mergeCell ref="X497:Z497"/>
    <mergeCell ref="A500:C500"/>
    <mergeCell ref="D500:E500"/>
    <mergeCell ref="F500:I500"/>
    <mergeCell ref="K500:M500"/>
    <mergeCell ref="X498:Z498"/>
    <mergeCell ref="A499:C499"/>
    <mergeCell ref="D499:E499"/>
    <mergeCell ref="F499:I499"/>
    <mergeCell ref="K499:M499"/>
    <mergeCell ref="N499:V499"/>
    <mergeCell ref="N513:V513"/>
    <mergeCell ref="N500:V500"/>
    <mergeCell ref="X500:Z500"/>
    <mergeCell ref="D502:F502"/>
    <mergeCell ref="H502:J502"/>
    <mergeCell ref="K502:M502"/>
    <mergeCell ref="N502:P502"/>
    <mergeCell ref="Q502:S502"/>
    <mergeCell ref="T502:V502"/>
    <mergeCell ref="X502:Z502"/>
    <mergeCell ref="X513:Z513"/>
    <mergeCell ref="A514:C514"/>
    <mergeCell ref="D514:E514"/>
    <mergeCell ref="F514:I514"/>
    <mergeCell ref="K514:M514"/>
    <mergeCell ref="N514:V514"/>
    <mergeCell ref="X514:Z514"/>
    <mergeCell ref="A513:C513"/>
    <mergeCell ref="D513:E513"/>
    <mergeCell ref="K513:M513"/>
    <mergeCell ref="N516:V516"/>
    <mergeCell ref="X516:Z516"/>
    <mergeCell ref="A515:C515"/>
    <mergeCell ref="D515:E515"/>
    <mergeCell ref="F515:I515"/>
    <mergeCell ref="K515:M515"/>
    <mergeCell ref="A517:C517"/>
    <mergeCell ref="D517:E517"/>
    <mergeCell ref="F517:I517"/>
    <mergeCell ref="K517:M517"/>
    <mergeCell ref="N515:V515"/>
    <mergeCell ref="X515:Z515"/>
    <mergeCell ref="A516:C516"/>
    <mergeCell ref="D516:E516"/>
    <mergeCell ref="F516:I516"/>
    <mergeCell ref="K516:M516"/>
    <mergeCell ref="N530:V530"/>
    <mergeCell ref="N517:V517"/>
    <mergeCell ref="X517:Z517"/>
    <mergeCell ref="D519:F519"/>
    <mergeCell ref="H519:J519"/>
    <mergeCell ref="K519:M519"/>
    <mergeCell ref="N519:P519"/>
    <mergeCell ref="Q519:S519"/>
    <mergeCell ref="T519:V519"/>
    <mergeCell ref="X519:Z519"/>
    <mergeCell ref="X530:Z530"/>
    <mergeCell ref="A531:C531"/>
    <mergeCell ref="D531:E531"/>
    <mergeCell ref="F531:I531"/>
    <mergeCell ref="K531:M531"/>
    <mergeCell ref="N531:V531"/>
    <mergeCell ref="X531:Z531"/>
    <mergeCell ref="A530:C530"/>
    <mergeCell ref="D530:E530"/>
    <mergeCell ref="K530:M530"/>
    <mergeCell ref="N533:V533"/>
    <mergeCell ref="X533:Z533"/>
    <mergeCell ref="A532:C532"/>
    <mergeCell ref="D532:E532"/>
    <mergeCell ref="F532:I532"/>
    <mergeCell ref="K532:M532"/>
    <mergeCell ref="A534:C534"/>
    <mergeCell ref="D534:E534"/>
    <mergeCell ref="F534:I534"/>
    <mergeCell ref="K534:M534"/>
    <mergeCell ref="N532:V532"/>
    <mergeCell ref="X532:Z532"/>
    <mergeCell ref="A533:C533"/>
    <mergeCell ref="D533:E533"/>
    <mergeCell ref="F533:I533"/>
    <mergeCell ref="K533:M533"/>
    <mergeCell ref="N547:V547"/>
    <mergeCell ref="N534:V534"/>
    <mergeCell ref="X534:Z534"/>
    <mergeCell ref="D536:F536"/>
    <mergeCell ref="H536:J536"/>
    <mergeCell ref="K536:M536"/>
    <mergeCell ref="N536:P536"/>
    <mergeCell ref="Q536:S536"/>
    <mergeCell ref="T536:V536"/>
    <mergeCell ref="X536:Z536"/>
    <mergeCell ref="X547:Z547"/>
    <mergeCell ref="A548:C548"/>
    <mergeCell ref="D548:E548"/>
    <mergeCell ref="F548:I548"/>
    <mergeCell ref="K548:M548"/>
    <mergeCell ref="N548:V548"/>
    <mergeCell ref="X548:Z548"/>
    <mergeCell ref="A547:C547"/>
    <mergeCell ref="D547:E547"/>
    <mergeCell ref="K547:M547"/>
    <mergeCell ref="N550:V550"/>
    <mergeCell ref="X550:Z550"/>
    <mergeCell ref="A549:C549"/>
    <mergeCell ref="D549:E549"/>
    <mergeCell ref="F549:I549"/>
    <mergeCell ref="K549:M549"/>
    <mergeCell ref="A551:C551"/>
    <mergeCell ref="D551:E551"/>
    <mergeCell ref="F551:I551"/>
    <mergeCell ref="K551:M551"/>
    <mergeCell ref="N549:V549"/>
    <mergeCell ref="X549:Z549"/>
    <mergeCell ref="A550:C550"/>
    <mergeCell ref="D550:E550"/>
    <mergeCell ref="F550:I550"/>
    <mergeCell ref="K550:M550"/>
    <mergeCell ref="N551:V551"/>
    <mergeCell ref="X551:Z551"/>
    <mergeCell ref="D553:F553"/>
    <mergeCell ref="H553:J553"/>
    <mergeCell ref="K553:M553"/>
    <mergeCell ref="N553:P553"/>
    <mergeCell ref="Q553:S553"/>
    <mergeCell ref="T553:V553"/>
    <mergeCell ref="X553:Z553"/>
    <mergeCell ref="H485:J485"/>
    <mergeCell ref="K485:M485"/>
    <mergeCell ref="N485:P485"/>
    <mergeCell ref="Q485:S485"/>
    <mergeCell ref="T485:V485"/>
    <mergeCell ref="A483:C483"/>
    <mergeCell ref="D483:E483"/>
    <mergeCell ref="F483:I483"/>
    <mergeCell ref="K483:M483"/>
    <mergeCell ref="N483:V483"/>
    <mergeCell ref="X483:Z483"/>
    <mergeCell ref="N481:V481"/>
    <mergeCell ref="X481:Z481"/>
    <mergeCell ref="A482:C482"/>
    <mergeCell ref="D482:E482"/>
    <mergeCell ref="F482:I482"/>
    <mergeCell ref="K482:M482"/>
    <mergeCell ref="N482:V482"/>
    <mergeCell ref="X482:Z482"/>
    <mergeCell ref="A481:C481"/>
    <mergeCell ref="D481:E481"/>
    <mergeCell ref="F481:I481"/>
    <mergeCell ref="K481:M481"/>
    <mergeCell ref="X479:Z479"/>
    <mergeCell ref="A480:C480"/>
    <mergeCell ref="D480:E480"/>
    <mergeCell ref="F480:I480"/>
    <mergeCell ref="K480:M480"/>
    <mergeCell ref="N480:V480"/>
    <mergeCell ref="X480:Z480"/>
    <mergeCell ref="A479:C479"/>
    <mergeCell ref="T468:V468"/>
    <mergeCell ref="X468:Z468"/>
    <mergeCell ref="D479:E479"/>
    <mergeCell ref="K479:M479"/>
    <mergeCell ref="N479:V479"/>
    <mergeCell ref="D468:F468"/>
    <mergeCell ref="H468:J468"/>
    <mergeCell ref="K468:M468"/>
    <mergeCell ref="N468:P468"/>
    <mergeCell ref="N466:V466"/>
    <mergeCell ref="A466:C466"/>
    <mergeCell ref="D466:E466"/>
    <mergeCell ref="F466:I466"/>
    <mergeCell ref="K466:M466"/>
    <mergeCell ref="X466:Z466"/>
    <mergeCell ref="Q468:S468"/>
    <mergeCell ref="N464:V464"/>
    <mergeCell ref="X464:Z464"/>
    <mergeCell ref="A465:C465"/>
    <mergeCell ref="D465:E465"/>
    <mergeCell ref="F465:I465"/>
    <mergeCell ref="K465:M465"/>
    <mergeCell ref="N465:V465"/>
    <mergeCell ref="X465:Z465"/>
    <mergeCell ref="A464:C464"/>
    <mergeCell ref="D464:E464"/>
    <mergeCell ref="F464:I464"/>
    <mergeCell ref="K464:M464"/>
    <mergeCell ref="X462:Z462"/>
    <mergeCell ref="A463:C463"/>
    <mergeCell ref="D463:E463"/>
    <mergeCell ref="F463:I463"/>
    <mergeCell ref="K463:M463"/>
    <mergeCell ref="N463:V463"/>
    <mergeCell ref="X463:Z463"/>
    <mergeCell ref="A462:C462"/>
    <mergeCell ref="T451:V451"/>
    <mergeCell ref="X451:Z451"/>
    <mergeCell ref="D462:E462"/>
    <mergeCell ref="K462:M462"/>
    <mergeCell ref="N462:V462"/>
    <mergeCell ref="D451:F451"/>
    <mergeCell ref="H451:J451"/>
    <mergeCell ref="K451:M451"/>
    <mergeCell ref="N451:P451"/>
    <mergeCell ref="N449:V449"/>
    <mergeCell ref="A449:C449"/>
    <mergeCell ref="D449:E449"/>
    <mergeCell ref="F449:I449"/>
    <mergeCell ref="K449:M449"/>
    <mergeCell ref="X449:Z449"/>
    <mergeCell ref="Q451:S451"/>
    <mergeCell ref="N447:V447"/>
    <mergeCell ref="X447:Z447"/>
    <mergeCell ref="A448:C448"/>
    <mergeCell ref="D448:E448"/>
    <mergeCell ref="F448:I448"/>
    <mergeCell ref="K448:M448"/>
    <mergeCell ref="N448:V448"/>
    <mergeCell ref="X448:Z448"/>
    <mergeCell ref="A447:C447"/>
    <mergeCell ref="D447:E447"/>
    <mergeCell ref="F447:I447"/>
    <mergeCell ref="K447:M447"/>
    <mergeCell ref="X445:Z445"/>
    <mergeCell ref="A446:C446"/>
    <mergeCell ref="D446:E446"/>
    <mergeCell ref="F446:I446"/>
    <mergeCell ref="K446:M446"/>
    <mergeCell ref="N446:V446"/>
    <mergeCell ref="X446:Z446"/>
    <mergeCell ref="A445:C445"/>
    <mergeCell ref="T434:V434"/>
    <mergeCell ref="X434:Z434"/>
    <mergeCell ref="D445:E445"/>
    <mergeCell ref="K445:M445"/>
    <mergeCell ref="N445:V445"/>
    <mergeCell ref="D434:F434"/>
    <mergeCell ref="H434:J434"/>
    <mergeCell ref="K434:M434"/>
    <mergeCell ref="N434:P434"/>
    <mergeCell ref="N432:V432"/>
    <mergeCell ref="A432:C432"/>
    <mergeCell ref="D432:E432"/>
    <mergeCell ref="F432:I432"/>
    <mergeCell ref="K432:M432"/>
    <mergeCell ref="X432:Z432"/>
    <mergeCell ref="Q434:S434"/>
    <mergeCell ref="N430:V430"/>
    <mergeCell ref="X430:Z430"/>
    <mergeCell ref="A431:C431"/>
    <mergeCell ref="D431:E431"/>
    <mergeCell ref="F431:I431"/>
    <mergeCell ref="K431:M431"/>
    <mergeCell ref="N431:V431"/>
    <mergeCell ref="X431:Z431"/>
    <mergeCell ref="A430:C430"/>
    <mergeCell ref="D430:E430"/>
    <mergeCell ref="F430:I430"/>
    <mergeCell ref="K430:M430"/>
    <mergeCell ref="X428:Z428"/>
    <mergeCell ref="A429:C429"/>
    <mergeCell ref="D429:E429"/>
    <mergeCell ref="F429:I429"/>
    <mergeCell ref="K429:M429"/>
    <mergeCell ref="N429:V429"/>
    <mergeCell ref="X429:Z429"/>
    <mergeCell ref="A428:C428"/>
    <mergeCell ref="T417:V417"/>
    <mergeCell ref="X417:Z417"/>
    <mergeCell ref="D428:E428"/>
    <mergeCell ref="K428:M428"/>
    <mergeCell ref="N428:V428"/>
    <mergeCell ref="D417:F417"/>
    <mergeCell ref="H417:J417"/>
    <mergeCell ref="K417:M417"/>
    <mergeCell ref="N417:P417"/>
    <mergeCell ref="N415:V415"/>
    <mergeCell ref="A415:C415"/>
    <mergeCell ref="D415:E415"/>
    <mergeCell ref="F415:I415"/>
    <mergeCell ref="K415:M415"/>
    <mergeCell ref="X415:Z415"/>
    <mergeCell ref="Q417:S417"/>
    <mergeCell ref="N413:V413"/>
    <mergeCell ref="X413:Z413"/>
    <mergeCell ref="A414:C414"/>
    <mergeCell ref="D414:E414"/>
    <mergeCell ref="F414:I414"/>
    <mergeCell ref="K414:M414"/>
    <mergeCell ref="N414:V414"/>
    <mergeCell ref="X414:Z414"/>
    <mergeCell ref="A413:C413"/>
    <mergeCell ref="D413:E413"/>
    <mergeCell ref="F413:I413"/>
    <mergeCell ref="K413:M413"/>
    <mergeCell ref="X411:Z411"/>
    <mergeCell ref="A412:C412"/>
    <mergeCell ref="D412:E412"/>
    <mergeCell ref="F412:I412"/>
    <mergeCell ref="K412:M412"/>
    <mergeCell ref="N412:V412"/>
    <mergeCell ref="X412:Z412"/>
    <mergeCell ref="A411:C411"/>
    <mergeCell ref="T400:V400"/>
    <mergeCell ref="X400:Z400"/>
    <mergeCell ref="D411:E411"/>
    <mergeCell ref="K411:M411"/>
    <mergeCell ref="N411:V411"/>
    <mergeCell ref="D400:F400"/>
    <mergeCell ref="H400:J400"/>
    <mergeCell ref="K400:M400"/>
    <mergeCell ref="N400:P400"/>
    <mergeCell ref="N398:V398"/>
    <mergeCell ref="A398:C398"/>
    <mergeCell ref="D398:E398"/>
    <mergeCell ref="F398:I398"/>
    <mergeCell ref="K398:M398"/>
    <mergeCell ref="X398:Z398"/>
    <mergeCell ref="Q400:S400"/>
    <mergeCell ref="N396:V396"/>
    <mergeCell ref="X396:Z396"/>
    <mergeCell ref="A397:C397"/>
    <mergeCell ref="D397:E397"/>
    <mergeCell ref="F397:I397"/>
    <mergeCell ref="K397:M397"/>
    <mergeCell ref="N397:V397"/>
    <mergeCell ref="X397:Z397"/>
    <mergeCell ref="A396:C396"/>
    <mergeCell ref="D396:E396"/>
    <mergeCell ref="F396:I396"/>
    <mergeCell ref="K396:M396"/>
    <mergeCell ref="X394:Z394"/>
    <mergeCell ref="A395:C395"/>
    <mergeCell ref="D395:E395"/>
    <mergeCell ref="F395:I395"/>
    <mergeCell ref="K395:M395"/>
    <mergeCell ref="N395:V395"/>
    <mergeCell ref="X395:Z395"/>
    <mergeCell ref="A394:C394"/>
    <mergeCell ref="T383:V383"/>
    <mergeCell ref="X383:Z383"/>
    <mergeCell ref="D394:E394"/>
    <mergeCell ref="K394:M394"/>
    <mergeCell ref="N394:V394"/>
    <mergeCell ref="D383:F383"/>
    <mergeCell ref="H383:J383"/>
    <mergeCell ref="K383:M383"/>
    <mergeCell ref="N383:P383"/>
    <mergeCell ref="N381:V381"/>
    <mergeCell ref="A381:C381"/>
    <mergeCell ref="D381:E381"/>
    <mergeCell ref="F381:I381"/>
    <mergeCell ref="K381:M381"/>
    <mergeCell ref="X381:Z381"/>
    <mergeCell ref="Q383:S383"/>
    <mergeCell ref="N379:V379"/>
    <mergeCell ref="X379:Z379"/>
    <mergeCell ref="A380:C380"/>
    <mergeCell ref="D380:E380"/>
    <mergeCell ref="F380:I380"/>
    <mergeCell ref="K380:M380"/>
    <mergeCell ref="N380:V380"/>
    <mergeCell ref="X380:Z380"/>
    <mergeCell ref="A379:C379"/>
    <mergeCell ref="D379:E379"/>
    <mergeCell ref="F379:I379"/>
    <mergeCell ref="K379:M379"/>
    <mergeCell ref="Q145:S145"/>
    <mergeCell ref="T145:V145"/>
    <mergeCell ref="N159:V159"/>
    <mergeCell ref="D162:F162"/>
    <mergeCell ref="H162:J162"/>
    <mergeCell ref="K162:M162"/>
    <mergeCell ref="N162:P162"/>
    <mergeCell ref="X145:Z145"/>
    <mergeCell ref="A156:C156"/>
    <mergeCell ref="D156:E156"/>
    <mergeCell ref="K156:M156"/>
    <mergeCell ref="N156:V156"/>
    <mergeCell ref="X156:Z156"/>
    <mergeCell ref="D145:F145"/>
    <mergeCell ref="H145:J145"/>
    <mergeCell ref="K145:M145"/>
    <mergeCell ref="N145:P145"/>
    <mergeCell ref="A143:C143"/>
    <mergeCell ref="D143:E143"/>
    <mergeCell ref="F143:I143"/>
    <mergeCell ref="K143:M143"/>
    <mergeCell ref="F142:I142"/>
    <mergeCell ref="K142:M142"/>
    <mergeCell ref="N140:V140"/>
    <mergeCell ref="X140:Z140"/>
    <mergeCell ref="N141:V141"/>
    <mergeCell ref="X141:Z141"/>
    <mergeCell ref="N143:V143"/>
    <mergeCell ref="X143:Z143"/>
    <mergeCell ref="N142:V142"/>
    <mergeCell ref="X142:Z142"/>
    <mergeCell ref="A141:C141"/>
    <mergeCell ref="D141:E141"/>
    <mergeCell ref="F141:I141"/>
    <mergeCell ref="K141:M141"/>
    <mergeCell ref="A142:C142"/>
    <mergeCell ref="D142:E142"/>
    <mergeCell ref="A140:C140"/>
    <mergeCell ref="D140:E140"/>
    <mergeCell ref="F140:I140"/>
    <mergeCell ref="K140:M140"/>
    <mergeCell ref="A139:C139"/>
    <mergeCell ref="D139:E139"/>
    <mergeCell ref="K139:M139"/>
    <mergeCell ref="N139:V139"/>
    <mergeCell ref="K128:M128"/>
    <mergeCell ref="N128:P128"/>
    <mergeCell ref="N125:V125"/>
    <mergeCell ref="X139:Z139"/>
    <mergeCell ref="D128:F128"/>
    <mergeCell ref="H128:J128"/>
    <mergeCell ref="X125:Z125"/>
    <mergeCell ref="N126:V126"/>
    <mergeCell ref="X126:Z126"/>
    <mergeCell ref="Q128:S128"/>
    <mergeCell ref="T128:V128"/>
    <mergeCell ref="X128:Z128"/>
    <mergeCell ref="A125:C125"/>
    <mergeCell ref="D125:E125"/>
    <mergeCell ref="F125:I125"/>
    <mergeCell ref="K125:M125"/>
    <mergeCell ref="A126:C126"/>
    <mergeCell ref="D126:E126"/>
    <mergeCell ref="F126:I126"/>
    <mergeCell ref="K126:M126"/>
    <mergeCell ref="K123:M123"/>
    <mergeCell ref="N123:V123"/>
    <mergeCell ref="X123:Z123"/>
    <mergeCell ref="A124:C124"/>
    <mergeCell ref="D124:E124"/>
    <mergeCell ref="F124:I124"/>
    <mergeCell ref="K124:M124"/>
    <mergeCell ref="N124:V124"/>
    <mergeCell ref="X124:Z124"/>
    <mergeCell ref="T111:V111"/>
    <mergeCell ref="A122:C122"/>
    <mergeCell ref="D122:E122"/>
    <mergeCell ref="K122:M122"/>
    <mergeCell ref="N122:V122"/>
    <mergeCell ref="D111:F111"/>
    <mergeCell ref="H111:J111"/>
    <mergeCell ref="N111:P111"/>
    <mergeCell ref="Q111:S111"/>
    <mergeCell ref="K111:M111"/>
    <mergeCell ref="X106:Z106"/>
    <mergeCell ref="A107:C107"/>
    <mergeCell ref="D107:E107"/>
    <mergeCell ref="F107:I107"/>
    <mergeCell ref="K107:M107"/>
    <mergeCell ref="N107:V107"/>
    <mergeCell ref="X107:Z107"/>
    <mergeCell ref="A106:C106"/>
    <mergeCell ref="D106:E106"/>
    <mergeCell ref="F106:I106"/>
    <mergeCell ref="X94:Z94"/>
    <mergeCell ref="A105:C105"/>
    <mergeCell ref="D105:E105"/>
    <mergeCell ref="K105:M105"/>
    <mergeCell ref="N105:V105"/>
    <mergeCell ref="X105:Z105"/>
    <mergeCell ref="D94:F94"/>
    <mergeCell ref="H94:J94"/>
    <mergeCell ref="K94:M94"/>
    <mergeCell ref="N94:P94"/>
    <mergeCell ref="X76:Z76"/>
    <mergeCell ref="A92:C92"/>
    <mergeCell ref="D92:E92"/>
    <mergeCell ref="F92:I92"/>
    <mergeCell ref="K92:M92"/>
    <mergeCell ref="N92:V92"/>
    <mergeCell ref="X92:Z92"/>
    <mergeCell ref="D76:F76"/>
    <mergeCell ref="H76:J76"/>
    <mergeCell ref="K76:M76"/>
    <mergeCell ref="A73:C73"/>
    <mergeCell ref="D73:E73"/>
    <mergeCell ref="F73:I73"/>
    <mergeCell ref="N76:P76"/>
    <mergeCell ref="N73:V73"/>
    <mergeCell ref="K73:M73"/>
    <mergeCell ref="Q76:S76"/>
    <mergeCell ref="T76:V76"/>
    <mergeCell ref="A71:C71"/>
    <mergeCell ref="D71:E71"/>
    <mergeCell ref="F71:I71"/>
    <mergeCell ref="X73:Z73"/>
    <mergeCell ref="A74:C74"/>
    <mergeCell ref="D74:E74"/>
    <mergeCell ref="F74:I74"/>
    <mergeCell ref="K74:M74"/>
    <mergeCell ref="N74:V74"/>
    <mergeCell ref="X74:Z74"/>
    <mergeCell ref="A72:C72"/>
    <mergeCell ref="D72:E72"/>
    <mergeCell ref="F72:I72"/>
    <mergeCell ref="K72:M72"/>
    <mergeCell ref="N72:V72"/>
    <mergeCell ref="X72:Z72"/>
    <mergeCell ref="K71:M71"/>
    <mergeCell ref="Q59:S59"/>
    <mergeCell ref="T59:V59"/>
    <mergeCell ref="N71:V71"/>
    <mergeCell ref="K70:M70"/>
    <mergeCell ref="X71:Z71"/>
    <mergeCell ref="X59:Z59"/>
    <mergeCell ref="A70:C70"/>
    <mergeCell ref="D70:E70"/>
    <mergeCell ref="N70:V70"/>
    <mergeCell ref="D59:F59"/>
    <mergeCell ref="H59:J59"/>
    <mergeCell ref="K59:M59"/>
    <mergeCell ref="N59:P59"/>
    <mergeCell ref="A57:C57"/>
    <mergeCell ref="D57:E57"/>
    <mergeCell ref="F57:I57"/>
    <mergeCell ref="K57:M57"/>
    <mergeCell ref="A56:C56"/>
    <mergeCell ref="D56:E56"/>
    <mergeCell ref="N54:V54"/>
    <mergeCell ref="X54:Z54"/>
    <mergeCell ref="N55:V55"/>
    <mergeCell ref="X55:Z55"/>
    <mergeCell ref="N56:V56"/>
    <mergeCell ref="X56:Z56"/>
    <mergeCell ref="A55:C55"/>
    <mergeCell ref="D55:E55"/>
    <mergeCell ref="F55:I55"/>
    <mergeCell ref="K55:M55"/>
    <mergeCell ref="F56:I56"/>
    <mergeCell ref="K56:M56"/>
    <mergeCell ref="A39:C39"/>
    <mergeCell ref="D39:E39"/>
    <mergeCell ref="T42:V42"/>
    <mergeCell ref="A53:C53"/>
    <mergeCell ref="D53:E53"/>
    <mergeCell ref="K53:M53"/>
    <mergeCell ref="N53:V53"/>
    <mergeCell ref="A40:C40"/>
    <mergeCell ref="D40:E40"/>
    <mergeCell ref="F40:I40"/>
    <mergeCell ref="F38:I38"/>
    <mergeCell ref="K38:M38"/>
    <mergeCell ref="F39:I39"/>
    <mergeCell ref="K39:M39"/>
    <mergeCell ref="N37:V37"/>
    <mergeCell ref="K37:M37"/>
    <mergeCell ref="N39:V39"/>
    <mergeCell ref="X39:Z39"/>
    <mergeCell ref="D25:F25"/>
    <mergeCell ref="H25:J25"/>
    <mergeCell ref="A37:C37"/>
    <mergeCell ref="D37:E37"/>
    <mergeCell ref="F37:I37"/>
    <mergeCell ref="A36:C36"/>
    <mergeCell ref="D36:E36"/>
    <mergeCell ref="A38:C38"/>
    <mergeCell ref="D38:E38"/>
    <mergeCell ref="F54:I54"/>
    <mergeCell ref="X25:Z25"/>
    <mergeCell ref="X36:Z36"/>
    <mergeCell ref="N40:V40"/>
    <mergeCell ref="X40:Z40"/>
    <mergeCell ref="K36:M36"/>
    <mergeCell ref="N36:V36"/>
    <mergeCell ref="X37:Z37"/>
    <mergeCell ref="N38:V38"/>
    <mergeCell ref="X38:Z38"/>
    <mergeCell ref="T94:V94"/>
    <mergeCell ref="N106:V106"/>
    <mergeCell ref="X57:Z57"/>
    <mergeCell ref="X70:Z70"/>
    <mergeCell ref="A23:C23"/>
    <mergeCell ref="K25:M25"/>
    <mergeCell ref="N25:P25"/>
    <mergeCell ref="X53:Z53"/>
    <mergeCell ref="A54:C54"/>
    <mergeCell ref="D54:E54"/>
    <mergeCell ref="K40:M40"/>
    <mergeCell ref="K21:M21"/>
    <mergeCell ref="N91:V91"/>
    <mergeCell ref="K109:M109"/>
    <mergeCell ref="A157:C157"/>
    <mergeCell ref="D157:E157"/>
    <mergeCell ref="F157:I157"/>
    <mergeCell ref="K157:M157"/>
    <mergeCell ref="K106:M106"/>
    <mergeCell ref="Q94:S94"/>
    <mergeCell ref="K22:M22"/>
    <mergeCell ref="D22:E22"/>
    <mergeCell ref="K90:M90"/>
    <mergeCell ref="N21:V21"/>
    <mergeCell ref="N22:V22"/>
    <mergeCell ref="K54:M54"/>
    <mergeCell ref="N90:V90"/>
    <mergeCell ref="Q25:S25"/>
    <mergeCell ref="T25:V25"/>
    <mergeCell ref="N57:V57"/>
    <mergeCell ref="D20:E20"/>
    <mergeCell ref="K19:M19"/>
    <mergeCell ref="K20:M20"/>
    <mergeCell ref="F20:I20"/>
    <mergeCell ref="A22:C22"/>
    <mergeCell ref="N23:V23"/>
    <mergeCell ref="D23:E23"/>
    <mergeCell ref="F23:I23"/>
    <mergeCell ref="K23:M23"/>
    <mergeCell ref="F22:I22"/>
    <mergeCell ref="X20:Z20"/>
    <mergeCell ref="A19:C19"/>
    <mergeCell ref="F21:I21"/>
    <mergeCell ref="D21:E21"/>
    <mergeCell ref="A20:C20"/>
    <mergeCell ref="A21:C21"/>
    <mergeCell ref="X21:Z21"/>
    <mergeCell ref="N19:V19"/>
    <mergeCell ref="N20:V20"/>
    <mergeCell ref="D19:E19"/>
    <mergeCell ref="X159:Z159"/>
    <mergeCell ref="C3:Z3"/>
    <mergeCell ref="X22:Z22"/>
    <mergeCell ref="X23:Z23"/>
    <mergeCell ref="D42:F42"/>
    <mergeCell ref="H42:J42"/>
    <mergeCell ref="N42:P42"/>
    <mergeCell ref="Q42:S42"/>
    <mergeCell ref="K42:M42"/>
    <mergeCell ref="X19:Z19"/>
    <mergeCell ref="X157:Z157"/>
    <mergeCell ref="A158:C158"/>
    <mergeCell ref="D158:E158"/>
    <mergeCell ref="F158:I158"/>
    <mergeCell ref="K158:M158"/>
    <mergeCell ref="N158:V158"/>
    <mergeCell ref="X158:Z158"/>
    <mergeCell ref="N157:V157"/>
    <mergeCell ref="N160:V160"/>
    <mergeCell ref="X160:Z160"/>
    <mergeCell ref="A159:C159"/>
    <mergeCell ref="D159:E159"/>
    <mergeCell ref="F159:I159"/>
    <mergeCell ref="A160:C160"/>
    <mergeCell ref="D160:E160"/>
    <mergeCell ref="F160:I160"/>
    <mergeCell ref="K160:M160"/>
    <mergeCell ref="K159:M159"/>
    <mergeCell ref="K174:M174"/>
    <mergeCell ref="T162:V162"/>
    <mergeCell ref="X162:Z162"/>
    <mergeCell ref="X173:Z173"/>
    <mergeCell ref="N174:V174"/>
    <mergeCell ref="X174:Z174"/>
    <mergeCell ref="K173:M173"/>
    <mergeCell ref="N173:V173"/>
    <mergeCell ref="Q162:S162"/>
    <mergeCell ref="K176:M176"/>
    <mergeCell ref="N175:V175"/>
    <mergeCell ref="X175:Z175"/>
    <mergeCell ref="A174:C174"/>
    <mergeCell ref="D174:E174"/>
    <mergeCell ref="A175:C175"/>
    <mergeCell ref="D175:E175"/>
    <mergeCell ref="F175:I175"/>
    <mergeCell ref="K175:M175"/>
    <mergeCell ref="F174:I174"/>
    <mergeCell ref="N176:V176"/>
    <mergeCell ref="X176:Z176"/>
    <mergeCell ref="A88:C88"/>
    <mergeCell ref="D88:E88"/>
    <mergeCell ref="K88:M88"/>
    <mergeCell ref="N88:V88"/>
    <mergeCell ref="N89:V89"/>
    <mergeCell ref="A90:C90"/>
    <mergeCell ref="D90:E90"/>
    <mergeCell ref="F90:I90"/>
    <mergeCell ref="K177:M177"/>
    <mergeCell ref="A91:C91"/>
    <mergeCell ref="D91:E91"/>
    <mergeCell ref="F91:I91"/>
    <mergeCell ref="K91:M91"/>
    <mergeCell ref="A89:C89"/>
    <mergeCell ref="D89:E89"/>
    <mergeCell ref="F89:I89"/>
    <mergeCell ref="K89:M89"/>
    <mergeCell ref="A176:C176"/>
    <mergeCell ref="A109:C109"/>
    <mergeCell ref="D109:E109"/>
    <mergeCell ref="F109:I109"/>
    <mergeCell ref="A177:C177"/>
    <mergeCell ref="D177:E177"/>
    <mergeCell ref="F177:I177"/>
    <mergeCell ref="D176:E176"/>
    <mergeCell ref="F176:I176"/>
    <mergeCell ref="A173:C173"/>
    <mergeCell ref="D173:E173"/>
    <mergeCell ref="Q179:S179"/>
    <mergeCell ref="T179:V179"/>
    <mergeCell ref="X179:Z179"/>
    <mergeCell ref="N177:V177"/>
    <mergeCell ref="A108:C108"/>
    <mergeCell ref="D108:E108"/>
    <mergeCell ref="K108:M108"/>
    <mergeCell ref="N108:V108"/>
    <mergeCell ref="F108:I108"/>
    <mergeCell ref="N109:V109"/>
    <mergeCell ref="X191:Z191"/>
    <mergeCell ref="A190:C190"/>
    <mergeCell ref="D190:E190"/>
    <mergeCell ref="K190:M190"/>
    <mergeCell ref="N190:V190"/>
    <mergeCell ref="X177:Z177"/>
    <mergeCell ref="D179:F179"/>
    <mergeCell ref="H179:J179"/>
    <mergeCell ref="K179:M179"/>
    <mergeCell ref="N179:P179"/>
    <mergeCell ref="X122:Z122"/>
    <mergeCell ref="A123:C123"/>
    <mergeCell ref="D123:E123"/>
    <mergeCell ref="F123:I123"/>
    <mergeCell ref="X190:Z190"/>
    <mergeCell ref="A191:C191"/>
    <mergeCell ref="D191:E191"/>
    <mergeCell ref="F191:I191"/>
    <mergeCell ref="K191:M191"/>
    <mergeCell ref="N191:V191"/>
    <mergeCell ref="N193:V193"/>
    <mergeCell ref="X193:Z193"/>
    <mergeCell ref="A192:C192"/>
    <mergeCell ref="D192:E192"/>
    <mergeCell ref="F192:I192"/>
    <mergeCell ref="K192:M192"/>
    <mergeCell ref="A194:C194"/>
    <mergeCell ref="D194:E194"/>
    <mergeCell ref="F194:I194"/>
    <mergeCell ref="K194:M194"/>
    <mergeCell ref="N192:V192"/>
    <mergeCell ref="X192:Z192"/>
    <mergeCell ref="A193:C193"/>
    <mergeCell ref="D193:E193"/>
    <mergeCell ref="F193:I193"/>
    <mergeCell ref="K193:M193"/>
    <mergeCell ref="N207:V207"/>
    <mergeCell ref="N194:V194"/>
    <mergeCell ref="X194:Z194"/>
    <mergeCell ref="D196:F196"/>
    <mergeCell ref="H196:J196"/>
    <mergeCell ref="K196:M196"/>
    <mergeCell ref="N196:P196"/>
    <mergeCell ref="Q196:S196"/>
    <mergeCell ref="T196:V196"/>
    <mergeCell ref="X196:Z196"/>
    <mergeCell ref="X207:Z207"/>
    <mergeCell ref="A208:C208"/>
    <mergeCell ref="D208:E208"/>
    <mergeCell ref="F208:I208"/>
    <mergeCell ref="K208:M208"/>
    <mergeCell ref="N208:V208"/>
    <mergeCell ref="X208:Z208"/>
    <mergeCell ref="A207:C207"/>
    <mergeCell ref="D207:E207"/>
    <mergeCell ref="K207:M207"/>
    <mergeCell ref="N210:V210"/>
    <mergeCell ref="X210:Z210"/>
    <mergeCell ref="A209:C209"/>
    <mergeCell ref="D209:E209"/>
    <mergeCell ref="F209:I209"/>
    <mergeCell ref="K209:M209"/>
    <mergeCell ref="A211:C211"/>
    <mergeCell ref="D211:E211"/>
    <mergeCell ref="F211:I211"/>
    <mergeCell ref="K211:M211"/>
    <mergeCell ref="N209:V209"/>
    <mergeCell ref="X209:Z209"/>
    <mergeCell ref="A210:C210"/>
    <mergeCell ref="D210:E210"/>
    <mergeCell ref="F210:I210"/>
    <mergeCell ref="K210:M210"/>
    <mergeCell ref="N224:V224"/>
    <mergeCell ref="N211:V211"/>
    <mergeCell ref="X211:Z211"/>
    <mergeCell ref="D213:F213"/>
    <mergeCell ref="H213:J213"/>
    <mergeCell ref="K213:M213"/>
    <mergeCell ref="N213:P213"/>
    <mergeCell ref="Q213:S213"/>
    <mergeCell ref="T213:V213"/>
    <mergeCell ref="X213:Z213"/>
    <mergeCell ref="X224:Z224"/>
    <mergeCell ref="A225:C225"/>
    <mergeCell ref="D225:E225"/>
    <mergeCell ref="F225:I225"/>
    <mergeCell ref="K225:M225"/>
    <mergeCell ref="N225:V225"/>
    <mergeCell ref="X225:Z225"/>
    <mergeCell ref="A224:C224"/>
    <mergeCell ref="D224:E224"/>
    <mergeCell ref="K224:M224"/>
    <mergeCell ref="N227:V227"/>
    <mergeCell ref="X227:Z227"/>
    <mergeCell ref="A226:C226"/>
    <mergeCell ref="D226:E226"/>
    <mergeCell ref="F226:I226"/>
    <mergeCell ref="K226:M226"/>
    <mergeCell ref="A228:C228"/>
    <mergeCell ref="D228:E228"/>
    <mergeCell ref="F228:I228"/>
    <mergeCell ref="K228:M228"/>
    <mergeCell ref="N226:V226"/>
    <mergeCell ref="X226:Z226"/>
    <mergeCell ref="A227:C227"/>
    <mergeCell ref="D227:E227"/>
    <mergeCell ref="F227:I227"/>
    <mergeCell ref="K227:M227"/>
    <mergeCell ref="N241:V241"/>
    <mergeCell ref="N228:V228"/>
    <mergeCell ref="X228:Z228"/>
    <mergeCell ref="D230:F230"/>
    <mergeCell ref="H230:J230"/>
    <mergeCell ref="K230:M230"/>
    <mergeCell ref="N230:P230"/>
    <mergeCell ref="Q230:S230"/>
    <mergeCell ref="T230:V230"/>
    <mergeCell ref="X230:Z230"/>
    <mergeCell ref="X241:Z241"/>
    <mergeCell ref="A242:C242"/>
    <mergeCell ref="D242:E242"/>
    <mergeCell ref="F242:I242"/>
    <mergeCell ref="K242:M242"/>
    <mergeCell ref="N242:V242"/>
    <mergeCell ref="X242:Z242"/>
    <mergeCell ref="A241:C241"/>
    <mergeCell ref="D241:E241"/>
    <mergeCell ref="K241:M241"/>
    <mergeCell ref="N244:V244"/>
    <mergeCell ref="X244:Z244"/>
    <mergeCell ref="A243:C243"/>
    <mergeCell ref="D243:E243"/>
    <mergeCell ref="F243:I243"/>
    <mergeCell ref="K243:M243"/>
    <mergeCell ref="A245:C245"/>
    <mergeCell ref="D245:E245"/>
    <mergeCell ref="F245:I245"/>
    <mergeCell ref="K245:M245"/>
    <mergeCell ref="N243:V243"/>
    <mergeCell ref="X243:Z243"/>
    <mergeCell ref="A244:C244"/>
    <mergeCell ref="D244:E244"/>
    <mergeCell ref="F244:I244"/>
    <mergeCell ref="K244:M244"/>
    <mergeCell ref="N258:V258"/>
    <mergeCell ref="N245:V245"/>
    <mergeCell ref="X245:Z245"/>
    <mergeCell ref="D247:F247"/>
    <mergeCell ref="H247:J247"/>
    <mergeCell ref="K247:M247"/>
    <mergeCell ref="N247:P247"/>
    <mergeCell ref="Q247:S247"/>
    <mergeCell ref="T247:V247"/>
    <mergeCell ref="X247:Z247"/>
    <mergeCell ref="X258:Z258"/>
    <mergeCell ref="A259:C259"/>
    <mergeCell ref="D259:E259"/>
    <mergeCell ref="F259:I259"/>
    <mergeCell ref="K259:M259"/>
    <mergeCell ref="N259:V259"/>
    <mergeCell ref="X259:Z259"/>
    <mergeCell ref="A258:C258"/>
    <mergeCell ref="D258:E258"/>
    <mergeCell ref="K258:M258"/>
    <mergeCell ref="N261:V261"/>
    <mergeCell ref="X261:Z261"/>
    <mergeCell ref="A260:C260"/>
    <mergeCell ref="D260:E260"/>
    <mergeCell ref="F260:I260"/>
    <mergeCell ref="K260:M260"/>
    <mergeCell ref="A262:C262"/>
    <mergeCell ref="D262:E262"/>
    <mergeCell ref="F262:I262"/>
    <mergeCell ref="K262:M262"/>
    <mergeCell ref="N260:V260"/>
    <mergeCell ref="X260:Z260"/>
    <mergeCell ref="A261:C261"/>
    <mergeCell ref="D261:E261"/>
    <mergeCell ref="F261:I261"/>
    <mergeCell ref="K261:M261"/>
    <mergeCell ref="N275:V275"/>
    <mergeCell ref="N262:V262"/>
    <mergeCell ref="X262:Z262"/>
    <mergeCell ref="D264:F264"/>
    <mergeCell ref="H264:J264"/>
    <mergeCell ref="K264:M264"/>
    <mergeCell ref="N264:P264"/>
    <mergeCell ref="Q264:S264"/>
    <mergeCell ref="T264:V264"/>
    <mergeCell ref="X264:Z264"/>
    <mergeCell ref="X275:Z275"/>
    <mergeCell ref="A276:C276"/>
    <mergeCell ref="D276:E276"/>
    <mergeCell ref="F276:I276"/>
    <mergeCell ref="K276:M276"/>
    <mergeCell ref="N276:V276"/>
    <mergeCell ref="X276:Z276"/>
    <mergeCell ref="A275:C275"/>
    <mergeCell ref="D275:E275"/>
    <mergeCell ref="K275:M275"/>
    <mergeCell ref="N278:V278"/>
    <mergeCell ref="X278:Z278"/>
    <mergeCell ref="A277:C277"/>
    <mergeCell ref="D277:E277"/>
    <mergeCell ref="F277:I277"/>
    <mergeCell ref="K277:M277"/>
    <mergeCell ref="A279:C279"/>
    <mergeCell ref="D279:E279"/>
    <mergeCell ref="F279:I279"/>
    <mergeCell ref="K279:M279"/>
    <mergeCell ref="N277:V277"/>
    <mergeCell ref="X277:Z277"/>
    <mergeCell ref="A278:C278"/>
    <mergeCell ref="D278:E278"/>
    <mergeCell ref="F278:I278"/>
    <mergeCell ref="K278:M278"/>
    <mergeCell ref="N292:V292"/>
    <mergeCell ref="N279:V279"/>
    <mergeCell ref="X279:Z279"/>
    <mergeCell ref="D281:F281"/>
    <mergeCell ref="H281:J281"/>
    <mergeCell ref="K281:M281"/>
    <mergeCell ref="N281:P281"/>
    <mergeCell ref="Q281:S281"/>
    <mergeCell ref="T281:V281"/>
    <mergeCell ref="X281:Z281"/>
    <mergeCell ref="X292:Z292"/>
    <mergeCell ref="A293:C293"/>
    <mergeCell ref="D293:E293"/>
    <mergeCell ref="F293:I293"/>
    <mergeCell ref="K293:M293"/>
    <mergeCell ref="N293:V293"/>
    <mergeCell ref="X293:Z293"/>
    <mergeCell ref="A292:C292"/>
    <mergeCell ref="D292:E292"/>
    <mergeCell ref="K292:M292"/>
    <mergeCell ref="N295:V295"/>
    <mergeCell ref="X295:Z295"/>
    <mergeCell ref="A294:C294"/>
    <mergeCell ref="D294:E294"/>
    <mergeCell ref="F294:I294"/>
    <mergeCell ref="K294:M294"/>
    <mergeCell ref="A296:C296"/>
    <mergeCell ref="D296:E296"/>
    <mergeCell ref="F296:I296"/>
    <mergeCell ref="K296:M296"/>
    <mergeCell ref="N294:V294"/>
    <mergeCell ref="X294:Z294"/>
    <mergeCell ref="A295:C295"/>
    <mergeCell ref="D295:E295"/>
    <mergeCell ref="F295:I295"/>
    <mergeCell ref="K295:M295"/>
    <mergeCell ref="N309:V309"/>
    <mergeCell ref="N296:V296"/>
    <mergeCell ref="X296:Z296"/>
    <mergeCell ref="D298:F298"/>
    <mergeCell ref="H298:J298"/>
    <mergeCell ref="K298:M298"/>
    <mergeCell ref="N298:P298"/>
    <mergeCell ref="Q298:S298"/>
    <mergeCell ref="T298:V298"/>
    <mergeCell ref="X298:Z298"/>
    <mergeCell ref="X309:Z309"/>
    <mergeCell ref="A310:C310"/>
    <mergeCell ref="D310:E310"/>
    <mergeCell ref="F310:I310"/>
    <mergeCell ref="K310:M310"/>
    <mergeCell ref="N310:V310"/>
    <mergeCell ref="X310:Z310"/>
    <mergeCell ref="A309:C309"/>
    <mergeCell ref="D309:E309"/>
    <mergeCell ref="K309:M309"/>
    <mergeCell ref="N312:V312"/>
    <mergeCell ref="X312:Z312"/>
    <mergeCell ref="A311:C311"/>
    <mergeCell ref="D311:E311"/>
    <mergeCell ref="F311:I311"/>
    <mergeCell ref="K311:M311"/>
    <mergeCell ref="A312:C312"/>
    <mergeCell ref="D312:E312"/>
    <mergeCell ref="F312:I312"/>
    <mergeCell ref="K312:M312"/>
    <mergeCell ref="N326:V326"/>
    <mergeCell ref="A313:C313"/>
    <mergeCell ref="D313:E313"/>
    <mergeCell ref="F313:I313"/>
    <mergeCell ref="K313:M313"/>
    <mergeCell ref="D315:F315"/>
    <mergeCell ref="H315:J315"/>
    <mergeCell ref="K315:M315"/>
    <mergeCell ref="N315:P315"/>
    <mergeCell ref="A327:C327"/>
    <mergeCell ref="D327:E327"/>
    <mergeCell ref="F327:I327"/>
    <mergeCell ref="K327:M327"/>
    <mergeCell ref="A326:C326"/>
    <mergeCell ref="D326:E326"/>
    <mergeCell ref="K326:M326"/>
    <mergeCell ref="N328:V328"/>
    <mergeCell ref="X328:Z328"/>
    <mergeCell ref="N329:V329"/>
    <mergeCell ref="X329:Z329"/>
    <mergeCell ref="A328:C328"/>
    <mergeCell ref="D328:E328"/>
    <mergeCell ref="F328:I328"/>
    <mergeCell ref="K328:M328"/>
    <mergeCell ref="X111:Z111"/>
    <mergeCell ref="X326:Z326"/>
    <mergeCell ref="N327:V327"/>
    <mergeCell ref="X327:Z327"/>
    <mergeCell ref="N313:V313"/>
    <mergeCell ref="T315:V315"/>
    <mergeCell ref="X315:Z315"/>
    <mergeCell ref="Q315:S315"/>
    <mergeCell ref="N311:V311"/>
    <mergeCell ref="X311:Z311"/>
    <mergeCell ref="X330:Z330"/>
    <mergeCell ref="N332:P332"/>
    <mergeCell ref="X42:Z42"/>
    <mergeCell ref="X88:Z88"/>
    <mergeCell ref="X89:Z89"/>
    <mergeCell ref="X90:Z90"/>
    <mergeCell ref="X91:Z91"/>
    <mergeCell ref="X108:Z108"/>
    <mergeCell ref="X109:Z109"/>
    <mergeCell ref="X313:Z313"/>
    <mergeCell ref="N330:V330"/>
    <mergeCell ref="T332:V332"/>
    <mergeCell ref="A329:C329"/>
    <mergeCell ref="D329:E329"/>
    <mergeCell ref="F329:I329"/>
    <mergeCell ref="K329:M329"/>
    <mergeCell ref="A330:C330"/>
    <mergeCell ref="D330:E330"/>
    <mergeCell ref="F330:I330"/>
    <mergeCell ref="K330:M330"/>
    <mergeCell ref="X332:Z332"/>
    <mergeCell ref="A343:C343"/>
    <mergeCell ref="D343:E343"/>
    <mergeCell ref="K343:M343"/>
    <mergeCell ref="N343:V343"/>
    <mergeCell ref="X343:Z343"/>
    <mergeCell ref="D332:F332"/>
    <mergeCell ref="H332:J332"/>
    <mergeCell ref="K332:M332"/>
    <mergeCell ref="Q332:S332"/>
    <mergeCell ref="A345:C345"/>
    <mergeCell ref="D345:E345"/>
    <mergeCell ref="F345:I345"/>
    <mergeCell ref="K345:M345"/>
    <mergeCell ref="A344:C344"/>
    <mergeCell ref="D344:E344"/>
    <mergeCell ref="F344:I344"/>
    <mergeCell ref="K344:M344"/>
    <mergeCell ref="N344:V344"/>
    <mergeCell ref="X344:Z344"/>
    <mergeCell ref="N345:V345"/>
    <mergeCell ref="X345:Z345"/>
    <mergeCell ref="N346:V346"/>
    <mergeCell ref="X346:Z346"/>
    <mergeCell ref="N347:V347"/>
    <mergeCell ref="X347:Z347"/>
    <mergeCell ref="A346:C346"/>
    <mergeCell ref="D346:E346"/>
    <mergeCell ref="A347:C347"/>
    <mergeCell ref="D347:E347"/>
    <mergeCell ref="F347:I347"/>
    <mergeCell ref="K347:M347"/>
    <mergeCell ref="F346:I346"/>
    <mergeCell ref="K346:M346"/>
    <mergeCell ref="X349:Z349"/>
    <mergeCell ref="A360:C360"/>
    <mergeCell ref="D360:E360"/>
    <mergeCell ref="K360:M360"/>
    <mergeCell ref="N360:V360"/>
    <mergeCell ref="X360:Z360"/>
    <mergeCell ref="D349:F349"/>
    <mergeCell ref="H349:J349"/>
    <mergeCell ref="K349:M349"/>
    <mergeCell ref="N349:P349"/>
    <mergeCell ref="D361:E361"/>
    <mergeCell ref="F361:I361"/>
    <mergeCell ref="K361:M361"/>
    <mergeCell ref="Q349:S349"/>
    <mergeCell ref="T349:V349"/>
    <mergeCell ref="N361:V361"/>
    <mergeCell ref="F363:I363"/>
    <mergeCell ref="K363:M363"/>
    <mergeCell ref="X361:Z361"/>
    <mergeCell ref="A362:C362"/>
    <mergeCell ref="D362:E362"/>
    <mergeCell ref="F362:I362"/>
    <mergeCell ref="K362:M362"/>
    <mergeCell ref="N362:V362"/>
    <mergeCell ref="X362:Z362"/>
    <mergeCell ref="A361:C361"/>
    <mergeCell ref="N363:V363"/>
    <mergeCell ref="X363:Z363"/>
    <mergeCell ref="N364:V364"/>
    <mergeCell ref="X364:Z364"/>
    <mergeCell ref="A364:C364"/>
    <mergeCell ref="D364:E364"/>
    <mergeCell ref="F364:I364"/>
    <mergeCell ref="K364:M364"/>
    <mergeCell ref="A363:C363"/>
    <mergeCell ref="D363:E363"/>
    <mergeCell ref="N366:P366"/>
    <mergeCell ref="Q366:S366"/>
    <mergeCell ref="T366:V366"/>
    <mergeCell ref="X366:Z366"/>
    <mergeCell ref="A377:C377"/>
    <mergeCell ref="D377:E377"/>
    <mergeCell ref="K377:M377"/>
    <mergeCell ref="N377:V377"/>
    <mergeCell ref="A378:C378"/>
    <mergeCell ref="D378:E378"/>
    <mergeCell ref="F378:I378"/>
    <mergeCell ref="K378:M378"/>
    <mergeCell ref="X377:Z377"/>
    <mergeCell ref="D366:F366"/>
    <mergeCell ref="H366:J366"/>
    <mergeCell ref="N378:V378"/>
    <mergeCell ref="X378:Z378"/>
    <mergeCell ref="K366:M366"/>
    <mergeCell ref="D11:E11"/>
    <mergeCell ref="K11:M11"/>
    <mergeCell ref="N11:V11"/>
    <mergeCell ref="D8:E8"/>
    <mergeCell ref="K8:M8"/>
    <mergeCell ref="N8:V8"/>
    <mergeCell ref="D9:E9"/>
    <mergeCell ref="K9:M9"/>
    <mergeCell ref="N9:V9"/>
    <mergeCell ref="D15:E15"/>
    <mergeCell ref="K15:M15"/>
    <mergeCell ref="N15:V15"/>
    <mergeCell ref="D12:E12"/>
    <mergeCell ref="K12:M12"/>
    <mergeCell ref="N12:V12"/>
    <mergeCell ref="J6:P6"/>
    <mergeCell ref="D14:E14"/>
    <mergeCell ref="K14:M14"/>
    <mergeCell ref="N14:V14"/>
    <mergeCell ref="D13:E13"/>
    <mergeCell ref="K13:M13"/>
    <mergeCell ref="N13:V13"/>
    <mergeCell ref="D10:E10"/>
    <mergeCell ref="K10:M10"/>
    <mergeCell ref="N10:V10"/>
  </mergeCells>
  <printOptions/>
  <pageMargins left="0.75" right="0.75" top="1" bottom="1" header="0" footer="0"/>
  <pageSetup horizontalDpi="600" verticalDpi="600" orientation="portrait" paperSize="9" scale="56" r:id="rId1"/>
  <rowBreaks count="6" manualBreakCount="6">
    <brk id="84" max="255" man="1"/>
    <brk id="152" max="255" man="1"/>
    <brk id="220" max="255" man="1"/>
    <brk id="288" max="255" man="1"/>
    <brk id="356" max="255" man="1"/>
    <brk id="3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6"/>
  <sheetViews>
    <sheetView workbookViewId="0" topLeftCell="A49">
      <selection activeCell="Y66" sqref="Y66"/>
    </sheetView>
  </sheetViews>
  <sheetFormatPr defaultColWidth="5.7109375" defaultRowHeight="12.75"/>
  <cols>
    <col min="1" max="1" width="6.57421875" style="0" customWidth="1"/>
    <col min="2" max="2" width="6.00390625" style="0" customWidth="1"/>
    <col min="3" max="3" width="3.7109375" style="0" customWidth="1"/>
    <col min="4" max="4" width="6.57421875" style="0" customWidth="1"/>
    <col min="5" max="5" width="6.00390625" style="0" customWidth="1"/>
    <col min="6" max="6" width="3.7109375" style="0" customWidth="1"/>
    <col min="7" max="7" width="6.57421875" style="0" customWidth="1"/>
    <col min="8" max="8" width="6.00390625" style="0" customWidth="1"/>
    <col min="9" max="9" width="3.7109375" style="0" customWidth="1"/>
    <col min="10" max="10" width="6.57421875" style="0" customWidth="1"/>
    <col min="11" max="11" width="5.8515625" style="0" customWidth="1"/>
    <col min="12" max="12" width="3.7109375" style="0" customWidth="1"/>
    <col min="13" max="13" width="6.57421875" style="0" customWidth="1"/>
    <col min="14" max="14" width="5.7109375" style="0" customWidth="1"/>
    <col min="15" max="15" width="3.7109375" style="0" customWidth="1"/>
    <col min="16" max="16" width="6.57421875" style="0" customWidth="1"/>
    <col min="17" max="17" width="5.8515625" style="0" customWidth="1"/>
    <col min="18" max="18" width="3.7109375" style="0" customWidth="1"/>
    <col min="19" max="19" width="6.57421875" style="0" customWidth="1"/>
    <col min="20" max="20" width="5.8515625" style="0" customWidth="1"/>
    <col min="21" max="21" width="3.7109375" style="0" customWidth="1"/>
    <col min="22" max="22" width="6.57421875" style="0" customWidth="1"/>
    <col min="23" max="23" width="5.7109375" style="0" customWidth="1"/>
    <col min="24" max="24" width="3.7109375" style="0" customWidth="1"/>
  </cols>
  <sheetData>
    <row r="1" spans="1:27" ht="13.5" thickBot="1">
      <c r="A1" s="41" t="str">
        <f>Inscripcions!A1</f>
        <v>2n. open del CIRCUIT PROVINCIAL</v>
      </c>
      <c r="B1" s="42"/>
      <c r="C1" s="42"/>
      <c r="D1" s="41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3" t="s">
        <v>49</v>
      </c>
    </row>
    <row r="2" ht="12" customHeight="1" thickBot="1"/>
    <row r="3" spans="2:26" ht="14.25" customHeight="1" thickBot="1">
      <c r="B3" s="267" t="str">
        <f>Inscripcions!D1</f>
        <v>OPEN PROVINCIAL D '  ALCARRÀS    15/12/2013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8"/>
    </row>
    <row r="4" ht="12" customHeight="1"/>
    <row r="5" spans="3:25" ht="13.5" customHeight="1">
      <c r="C5" s="269" t="s">
        <v>55</v>
      </c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</row>
    <row r="6" ht="49.5" customHeight="1"/>
    <row r="7" spans="1:24" ht="15" customHeight="1">
      <c r="A7" s="270" t="s">
        <v>56</v>
      </c>
      <c r="B7" s="270"/>
      <c r="C7" s="270"/>
      <c r="D7" s="270" t="s">
        <v>57</v>
      </c>
      <c r="E7" s="270"/>
      <c r="F7" s="270"/>
      <c r="G7" s="17" t="s">
        <v>58</v>
      </c>
      <c r="H7" s="44"/>
      <c r="I7" s="44"/>
      <c r="J7" s="17" t="s">
        <v>50</v>
      </c>
      <c r="K7" s="44"/>
      <c r="L7" s="44"/>
      <c r="M7" s="17" t="s">
        <v>51</v>
      </c>
      <c r="N7" s="44"/>
      <c r="O7" s="44"/>
      <c r="P7" s="17" t="s">
        <v>52</v>
      </c>
      <c r="Q7" s="44"/>
      <c r="R7" s="44"/>
      <c r="S7" s="17" t="s">
        <v>53</v>
      </c>
      <c r="T7" s="44"/>
      <c r="U7" s="44"/>
      <c r="V7" s="17" t="s">
        <v>54</v>
      </c>
      <c r="W7" s="44"/>
      <c r="X7" s="44"/>
    </row>
    <row r="8" spans="1:18" ht="43.5" customHeight="1">
      <c r="A8" s="44"/>
      <c r="B8" s="44"/>
      <c r="C8" s="44"/>
      <c r="D8" s="44"/>
      <c r="E8" s="44"/>
      <c r="F8" s="44"/>
      <c r="G8" s="78"/>
      <c r="H8" s="78"/>
      <c r="I8" s="78"/>
      <c r="J8" s="78"/>
      <c r="K8" s="78"/>
      <c r="L8" s="44"/>
      <c r="M8" s="44"/>
      <c r="N8" s="44"/>
      <c r="O8" s="44"/>
      <c r="P8" s="44"/>
      <c r="Q8" s="44"/>
      <c r="R8" s="44"/>
    </row>
    <row r="9" spans="4:13" ht="18.75" customHeight="1" thickBot="1">
      <c r="D9" s="49" t="str">
        <f>IF(Fase_grups_ABS!AA157="1r",Fase_grups_ABS!N157,IF(Fase_grups_ABS!AA158="1r",Fase_grups_ABS!N158,IF(Fase_grups_ABS!AA159="1r",Fase_grups_ABS!N159,IF(Fase_grups_ABS!AA160="1r",Fase_grups_ABS!N160,"1r. Grup 9"))))</f>
        <v>Arnau Ferre</v>
      </c>
      <c r="F9" s="51">
        <v>3</v>
      </c>
      <c r="G9" s="113"/>
      <c r="H9" s="113"/>
      <c r="J9" s="111" t="str">
        <f>IF(Fase_grups_ABS!AA20="1r",Fase_grups_ABS!N20,IF(Fase_grups_ABS!AA21="1r",Fase_grups_ABS!N21,IF(Fase_grups_ABS!AA22="1r",Fase_grups_ABS!N22,IF(Fase_grups_ABS!AA23="1r",Fase_grups_ABS!N23,IF(Fase_grups_ABS!AA24="1r",Fase_grups_ABS!N24,"1r. Grup 1")))))</f>
        <v>Jordi Latorre</v>
      </c>
      <c r="K9" s="113"/>
      <c r="L9" s="51">
        <v>3</v>
      </c>
      <c r="M9" s="46"/>
    </row>
    <row r="10" spans="1:18" ht="18.75" customHeight="1" thickBot="1">
      <c r="A10" s="49" t="str">
        <f>IF(Fase_grups_ABS!AA429="1r",Fase_grups_ABS!N429,IF(Fase_grups_ABS!AA430="1r",Fase_grups_ABS!N430,IF(Fase_grups_ABS!AA431="1r",Fase_grups_ABS!N431,IF(Fase_grups_ABS!AA432="1r",Fase_grups_ABS!N432,"1r. Grup 25"))))</f>
        <v>1r. Grup 25</v>
      </c>
      <c r="C10" s="51"/>
      <c r="D10" s="265" t="str">
        <f>IF(D11=A10,A12,A10)</f>
        <v>1r. Grup 25</v>
      </c>
      <c r="E10" s="266"/>
      <c r="F10" s="52"/>
      <c r="G10" s="112" t="str">
        <f>IF(F9&gt;F11,D9,IF(F9&lt;F11,D11,""))</f>
        <v>Arnau Ferre</v>
      </c>
      <c r="H10" s="113"/>
      <c r="I10" s="51">
        <v>3</v>
      </c>
      <c r="J10" s="265" t="str">
        <f>IF(J11=G10,G12,G10)</f>
        <v>Pau Vendrell</v>
      </c>
      <c r="K10" s="266"/>
      <c r="L10" s="52" t="s">
        <v>15</v>
      </c>
      <c r="M10" s="8" t="str">
        <f>IF(L9&gt;L11,J9,IF(L9&lt;L11,J11,""))</f>
        <v>Jordi Latorre</v>
      </c>
      <c r="O10" s="51">
        <v>3</v>
      </c>
      <c r="P10" s="46"/>
      <c r="R10" s="47"/>
    </row>
    <row r="11" spans="1:15" ht="18.75" customHeight="1" thickBot="1">
      <c r="A11" s="265" t="str">
        <f>D9</f>
        <v>Arnau Ferre</v>
      </c>
      <c r="B11" s="266"/>
      <c r="C11" s="52"/>
      <c r="D11" s="50">
        <f>IF(C10&gt;C12,A10,IF(C10&lt;C12,A12,""))</f>
      </c>
      <c r="E11" s="45"/>
      <c r="F11" s="53">
        <v>0</v>
      </c>
      <c r="G11" s="265">
        <f>IF(D9=G10,D11,D9)</f>
      </c>
      <c r="H11" s="266"/>
      <c r="I11" s="52" t="s">
        <v>15</v>
      </c>
      <c r="J11" s="112" t="str">
        <f>IF(I10&gt;I12,G10,IF(I10&lt;I12,G12,""))</f>
        <v>Arnau Ferre</v>
      </c>
      <c r="K11" s="114"/>
      <c r="L11" s="53">
        <v>0</v>
      </c>
      <c r="M11" s="54"/>
      <c r="N11" s="48"/>
      <c r="O11" s="59"/>
    </row>
    <row r="12" spans="1:25" ht="18.75" customHeight="1" thickBot="1">
      <c r="A12" s="50" t="str">
        <f>IF(Fase_grups_ABS!AA412="2n",Fase_grups_ABS!N412,IF(Fase_grups_ABS!AA413="2n",Fase_grups_ABS!N413,IF(Fase_grups_ABS!AA414="2n",Fase_grups_ABS!N414,IF(Fase_grups_ABS!AA415="2n",Fase_grups_ABS!N415,"2n. Grup 24"))))</f>
        <v>2n. Grup 24</v>
      </c>
      <c r="B12" s="45"/>
      <c r="C12" s="53"/>
      <c r="D12" s="49"/>
      <c r="F12" s="8"/>
      <c r="G12" s="112" t="str">
        <f>IF(Fase_grups_ABS!AA140="4t",Fase_grups_ABS!N140,IF(Fase_grups_ABS!AA141="4t",Fase_grups_ABS!N141,IF(Fase_grups_ABS!AA142="4t",Fase_grups_ABS!N142,IF(Fase_grups_ABS!AA143="4t",Fase_grups_ABS!N143,IF(Fase_grups_ABS!AA144="4t",Fase_grups_ABS!N144,"4t. Grup 8")))))</f>
        <v>Pau Vendrell</v>
      </c>
      <c r="H12" s="114"/>
      <c r="I12" s="53">
        <v>0</v>
      </c>
      <c r="J12" s="111"/>
      <c r="K12" s="113"/>
      <c r="L12" s="8"/>
      <c r="M12" s="271" t="str">
        <f>IF(M10=J9,J11,J9)</f>
        <v>Arnau Ferre</v>
      </c>
      <c r="N12" s="271">
        <v>0.7152777777777778</v>
      </c>
      <c r="O12" s="60" t="s">
        <v>15</v>
      </c>
      <c r="P12" s="8" t="str">
        <f>IF(O10&gt;O14,M10,IF(O10&lt;O14,M14,""))</f>
        <v>Jordi Latorre</v>
      </c>
      <c r="Q12" s="8"/>
      <c r="R12" s="51">
        <v>3</v>
      </c>
      <c r="S12" s="58"/>
      <c r="T12" s="8"/>
      <c r="U12" s="8"/>
      <c r="V12" s="8"/>
      <c r="W12" s="8"/>
      <c r="X12" s="8"/>
      <c r="Y12" s="8"/>
    </row>
    <row r="13" spans="1:25" ht="18.75" customHeight="1" thickBot="1">
      <c r="A13" s="49"/>
      <c r="C13" s="8"/>
      <c r="D13" s="49" t="str">
        <f>IF(Fase_grups_ABS!AA276="2n",Fase_grups_ABS!N276,IF(Fase_grups_ABS!AA277="2n",Fase_grups_ABS!N277,IF(Fase_grups_ABS!AA278="2n",Fase_grups_ABS!N278,IF(Fase_grups_ABS!AA279="2n",Fase_grups_ABS!N279,"2n. Grup 16"))))</f>
        <v>Àngel Garcia</v>
      </c>
      <c r="F13" s="51">
        <v>0</v>
      </c>
      <c r="G13" s="111"/>
      <c r="H13" s="113"/>
      <c r="I13" s="8"/>
      <c r="J13" s="111" t="str">
        <f>IF(Fase_grups_ABS!AA71="4t",Fase_grups_ABS!N71,IF(Fase_grups_ABS!AA72="4t",Fase_grups_ABS!N72,IF(Fase_grups_ABS!AA73="4t",Fase_grups_ABS!N73,IF(Fase_grups_ABS!AA74="4t",Fase_grups_ABS!N74,IF(Fase_grups_ABS!AA75="4t",Fase_grups_ABS!N75,"4t. Grup 4")))))</f>
        <v>Alex Carrera</v>
      </c>
      <c r="K13" s="113"/>
      <c r="L13" s="51">
        <v>0</v>
      </c>
      <c r="M13" s="56"/>
      <c r="N13" s="47"/>
      <c r="O13" s="61"/>
      <c r="P13" s="62"/>
      <c r="Q13" s="62"/>
      <c r="R13" s="59"/>
      <c r="S13" s="8"/>
      <c r="T13" s="8"/>
      <c r="U13" s="8"/>
      <c r="V13" s="8"/>
      <c r="W13" s="8"/>
      <c r="X13" s="8"/>
      <c r="Y13" s="8"/>
    </row>
    <row r="14" spans="1:25" ht="18.75" customHeight="1" thickBot="1">
      <c r="A14" s="49" t="str">
        <f>IF(Fase_grups_ABS!AA548="2n",Fase_grups_ABS!N548,IF(Fase_grups_ABS!AA549="2n",Fase_grups_ABS!N549,IF(Fase_grups_ABS!AA550="2n",Fase_grups_ABS!N550,IF(Fase_grups_ABS!AA551="2n",Fase_grups_ABS!N551,"2n. Grup 32"))))</f>
        <v>2n. Grup 32</v>
      </c>
      <c r="C14" s="51">
        <v>0</v>
      </c>
      <c r="D14" s="265" t="str">
        <f>G12</f>
        <v>Pau Vendrell</v>
      </c>
      <c r="E14" s="266">
        <v>0.6666666666666666</v>
      </c>
      <c r="F14" s="80" t="s">
        <v>15</v>
      </c>
      <c r="G14" s="112" t="str">
        <f>IF(F13&gt;F15,D13,IF(F13&lt;F15,D15,""))</f>
        <v>Gerard Buenache</v>
      </c>
      <c r="H14" s="113"/>
      <c r="I14" s="51">
        <v>1</v>
      </c>
      <c r="J14" s="265" t="str">
        <f>IF(J15=G14,G16,G14)</f>
        <v>Gerard Buenache</v>
      </c>
      <c r="K14" s="266"/>
      <c r="L14" s="80" t="s">
        <v>16</v>
      </c>
      <c r="M14" s="57" t="str">
        <f>IF(L13&gt;L15,J13,IF(L13&lt;L15,J15,""))</f>
        <v>Lluís Torné</v>
      </c>
      <c r="N14" s="45"/>
      <c r="O14" s="53">
        <v>0</v>
      </c>
      <c r="P14" s="56"/>
      <c r="Q14" s="63"/>
      <c r="R14" s="61"/>
      <c r="T14" s="8"/>
      <c r="U14" s="8"/>
      <c r="V14" s="8"/>
      <c r="W14" s="8"/>
      <c r="X14" s="8"/>
      <c r="Y14" s="8"/>
    </row>
    <row r="15" spans="1:25" ht="18.75" customHeight="1" thickBot="1">
      <c r="A15" s="265" t="str">
        <f>D13</f>
        <v>Àngel Garcia</v>
      </c>
      <c r="B15" s="266"/>
      <c r="C15" s="52"/>
      <c r="D15" s="50" t="str">
        <f>IF(C14&gt;C16,A14,IF(C14&lt;C16,A16,""))</f>
        <v>Gerard Buenache</v>
      </c>
      <c r="E15" s="45"/>
      <c r="F15" s="53">
        <v>3</v>
      </c>
      <c r="G15" s="265" t="str">
        <f>IF(D13=G14,D15,D13)</f>
        <v>Àngel Garcia</v>
      </c>
      <c r="H15" s="266"/>
      <c r="I15" s="52" t="s">
        <v>16</v>
      </c>
      <c r="J15" s="112" t="str">
        <f>IF(I14&gt;I16,G14,IF(I14&lt;I16,G16,""))</f>
        <v>Lluís Torné</v>
      </c>
      <c r="K15" s="114"/>
      <c r="L15" s="53">
        <v>3</v>
      </c>
      <c r="M15" s="58"/>
      <c r="O15" s="8"/>
      <c r="P15" s="63"/>
      <c r="Q15" s="63"/>
      <c r="R15" s="61"/>
      <c r="S15" s="8"/>
      <c r="T15" s="8"/>
      <c r="U15" s="8"/>
      <c r="V15" s="8"/>
      <c r="W15" s="8"/>
      <c r="X15" s="8"/>
      <c r="Y15" s="8"/>
    </row>
    <row r="16" spans="1:25" ht="18.75" customHeight="1" thickBot="1">
      <c r="A16" s="50" t="str">
        <f>IF(Fase_grups_ABS!AA293="1r",Fase_grups_ABS!N293,IF(Fase_grups_ABS!AA294="1r",Fase_grups_ABS!N294,IF(Fase_grups_ABS!AA295="1r",Fase_grups_ABS!N295,IF(Fase_grups_ABS!AA296="1r",Fase_grups_ABS!N296,"1r. Grup 17"))))</f>
        <v>Gerard Buenache</v>
      </c>
      <c r="B16" s="45"/>
      <c r="C16" s="53">
        <v>3</v>
      </c>
      <c r="D16" s="49"/>
      <c r="F16" s="8"/>
      <c r="G16" s="112" t="str">
        <f>IF(Fase_grups_ABS!AA89="1r",Fase_grups_ABS!N89,IF(Fase_grups_ABS!AA90="1r",Fase_grups_ABS!N90,IF(Fase_grups_ABS!AA91="1r",Fase_grups_ABS!N91,IF(Fase_grups_ABS!AA92="1r",Fase_grups_ABS!N92,IF(Fase_grups_ABS!AA93="1r",Fase_grups_ABS!N93,"1r. Grup 5")))))</f>
        <v>Lluís Torné</v>
      </c>
      <c r="H16" s="114"/>
      <c r="I16" s="53">
        <v>3</v>
      </c>
      <c r="J16" s="111"/>
      <c r="K16" s="113"/>
      <c r="L16" s="8"/>
      <c r="M16" s="8"/>
      <c r="O16" s="8"/>
      <c r="P16" s="271" t="str">
        <f>IF(P20=M18,M22,M18)</f>
        <v>Victor Camí</v>
      </c>
      <c r="Q16" s="271">
        <v>0.7465277777777778</v>
      </c>
      <c r="R16" s="60" t="s">
        <v>15</v>
      </c>
      <c r="S16" s="57" t="str">
        <f>IF(R12&gt;R20,P12,IF(R12&lt;R20,P20,""))</f>
        <v>Jordi Latorre</v>
      </c>
      <c r="T16" s="8"/>
      <c r="U16" s="51">
        <v>3</v>
      </c>
      <c r="V16" s="58"/>
      <c r="W16" s="8"/>
      <c r="X16" s="8"/>
      <c r="Y16" s="8"/>
    </row>
    <row r="17" spans="1:25" ht="18.75" customHeight="1" thickBot="1">
      <c r="A17" s="49"/>
      <c r="C17" s="8"/>
      <c r="D17" s="49" t="str">
        <f>IF(Fase_grups_ABS!AA225="1r",Fase_grups_ABS!N225,IF(Fase_grups_ABS!AA226="1r",Fase_grups_ABS!N226,IF(Fase_grups_ABS!AA227="1r",Fase_grups_ABS!N227,IF(Fase_grups_ABS!AA228="1r",Fase_grups_ABS!N228,"1r. Grup 13"))))</f>
        <v>Jordi Ros</v>
      </c>
      <c r="F17" s="51">
        <v>3</v>
      </c>
      <c r="G17" s="111"/>
      <c r="H17" s="113"/>
      <c r="I17" s="8"/>
      <c r="J17" s="111" t="str">
        <f>IF(Fase_grups_ABS!AA54="2n",Fase_grups_ABS!N54,IF(Fase_grups_ABS!AA55="2n",Fase_grups_ABS!N55,IF(Fase_grups_ABS!AA56="2n",Fase_grups_ABS!N56,IF(Fase_grups_ABS!AA57="2n",Fase_grups_ABS!N57,"2n. Grup 3"))))</f>
        <v>Victor Camí</v>
      </c>
      <c r="K17" s="113"/>
      <c r="L17" s="51">
        <v>3</v>
      </c>
      <c r="M17" s="58"/>
      <c r="O17" s="8"/>
      <c r="P17" s="63"/>
      <c r="Q17" s="63"/>
      <c r="R17" s="61"/>
      <c r="S17" s="62"/>
      <c r="T17" s="62"/>
      <c r="U17" s="59"/>
      <c r="V17" s="8"/>
      <c r="W17" s="8"/>
      <c r="X17" s="8"/>
      <c r="Y17" s="8"/>
    </row>
    <row r="18" spans="1:25" ht="18.75" customHeight="1" thickBot="1">
      <c r="A18" s="49" t="str">
        <f>IF(Fase_grups_ABS!AA497="1r",Fase_grups_ABS!N497,IF(Fase_grups_ABS!AA498="1r",Fase_grups_ABS!N498,IF(Fase_grups_ABS!AA499="1r",Fase_grups_ABS!N499,IF(Fase_grups_ABS!AA500="1r",Fase_grups_ABS!N500,"1r. Grup 29"))))</f>
        <v>1r. Grup 29</v>
      </c>
      <c r="C18" s="51">
        <v>0</v>
      </c>
      <c r="D18" s="265" t="str">
        <f>G16</f>
        <v>Lluís Torné</v>
      </c>
      <c r="E18" s="266">
        <v>0.6666666666666666</v>
      </c>
      <c r="F18" s="80" t="s">
        <v>16</v>
      </c>
      <c r="G18" s="112" t="str">
        <f>IF(F17&gt;F19,D17,IF(F17&lt;F19,D19,""))</f>
        <v>Jordi Ros</v>
      </c>
      <c r="H18" s="113"/>
      <c r="I18" s="51">
        <v>3</v>
      </c>
      <c r="J18" s="265" t="str">
        <f>IF(J19=G18,G20,G18)</f>
        <v>Carlos Chaves</v>
      </c>
      <c r="K18" s="266"/>
      <c r="L18" s="52" t="s">
        <v>17</v>
      </c>
      <c r="M18" s="8" t="str">
        <f>IF(L17&gt;L19,J17,IF(L17&lt;L19,J19,""))</f>
        <v>Victor Camí</v>
      </c>
      <c r="O18" s="51">
        <v>1</v>
      </c>
      <c r="P18" s="56"/>
      <c r="Q18" s="63"/>
      <c r="R18" s="61"/>
      <c r="S18" s="63"/>
      <c r="T18" s="63"/>
      <c r="U18" s="61"/>
      <c r="V18" s="8"/>
      <c r="W18" s="8"/>
      <c r="X18" s="8"/>
      <c r="Y18" s="8"/>
    </row>
    <row r="19" spans="1:25" ht="18.75" customHeight="1" thickBot="1">
      <c r="A19" s="265" t="str">
        <f>D17</f>
        <v>Jordi Ros</v>
      </c>
      <c r="B19" s="266"/>
      <c r="C19" s="52"/>
      <c r="D19" s="50" t="str">
        <f>IF(C18&gt;C20,A18,IF(C18&lt;C20,A20,""))</f>
        <v>Ricard Boncompte</v>
      </c>
      <c r="E19" s="45"/>
      <c r="F19" s="53">
        <v>0</v>
      </c>
      <c r="G19" s="265" t="str">
        <f>IF(D17=G18,D19,D17)</f>
        <v>Ricard Boncompte</v>
      </c>
      <c r="H19" s="266"/>
      <c r="I19" s="52" t="s">
        <v>17</v>
      </c>
      <c r="J19" s="112" t="str">
        <f>IF(I18&gt;I20,G18,IF(I18&lt;I20,G20,""))</f>
        <v>Jordi Ros</v>
      </c>
      <c r="K19" s="114"/>
      <c r="L19" s="53">
        <v>0</v>
      </c>
      <c r="M19" s="54"/>
      <c r="N19" s="48"/>
      <c r="O19" s="59"/>
      <c r="P19" s="63"/>
      <c r="Q19" s="63"/>
      <c r="R19" s="61"/>
      <c r="S19" s="63"/>
      <c r="T19" s="63"/>
      <c r="U19" s="61"/>
      <c r="V19" s="8"/>
      <c r="W19" s="8"/>
      <c r="X19" s="8"/>
      <c r="Y19" s="8"/>
    </row>
    <row r="20" spans="1:25" ht="18.75" customHeight="1" thickBot="1">
      <c r="A20" s="50" t="str">
        <f>IF(Fase_grups_ABS!AA344="2n",Fase_grups_ABS!N344,IF(Fase_grups_ABS!AA345="2n",Fase_grups_ABS!N345,IF(Fase_grups_ABS!AA346="2n",Fase_grups_ABS!N346,IF(Fase_grups_ABS!AA347="2n",Fase_grups_ABS!N347,"2n. Grup 20"))))</f>
        <v>Ricard Boncompte</v>
      </c>
      <c r="B20" s="45"/>
      <c r="C20" s="53">
        <v>3</v>
      </c>
      <c r="D20" s="49"/>
      <c r="F20" s="8"/>
      <c r="G20" s="112" t="str">
        <f>IF(Fase_grups_ABS!AA106="4t",Fase_grups_ABS!N106,IF(Fase_grups_ABS!AA107="4t",Fase_grups_ABS!N107,IF(Fase_grups_ABS!AA108="4t",Fase_grups_ABS!N108,IF(Fase_grups_ABS!AA109="4t",Fase_grups_ABS!N109,"4t. Grup 6"))))</f>
        <v>Carlos Chaves</v>
      </c>
      <c r="H20" s="114"/>
      <c r="I20" s="53">
        <v>0</v>
      </c>
      <c r="J20" s="111"/>
      <c r="K20" s="113"/>
      <c r="L20" s="8"/>
      <c r="M20" s="271" t="str">
        <f>IF(M18=J17,J19,J17)</f>
        <v>Jordi Ros</v>
      </c>
      <c r="N20" s="271">
        <v>0.7152777777777778</v>
      </c>
      <c r="O20" s="60" t="s">
        <v>16</v>
      </c>
      <c r="P20" s="57" t="str">
        <f>IF(O18&gt;O22,#REF!,IF(O18&lt;O22,M22,""))</f>
        <v>Cristian  Fernandez</v>
      </c>
      <c r="Q20" s="57"/>
      <c r="R20" s="53">
        <v>0</v>
      </c>
      <c r="S20" s="56"/>
      <c r="T20" s="63"/>
      <c r="U20" s="61"/>
      <c r="V20" s="8"/>
      <c r="W20" s="8"/>
      <c r="X20" s="8"/>
      <c r="Y20" s="8"/>
    </row>
    <row r="21" spans="1:25" ht="18.75" customHeight="1" thickBot="1">
      <c r="A21" s="49"/>
      <c r="C21" s="8"/>
      <c r="D21" s="49" t="str">
        <f>IF(Fase_grups_ABS!AA208="2n",Fase_grups_ABS!N208,IF(Fase_grups_ABS!AA209="2n",Fase_grups_ABS!N209,IF(Fase_grups_ABS!AA210="2n",Fase_grups_ABS!N210,IF(Fase_grups_ABS!AA211="2n",Fase_grups_ABS!N211,"2n. Grup 12"))))</f>
        <v>Toni Sánchez</v>
      </c>
      <c r="F21" s="51">
        <v>2</v>
      </c>
      <c r="G21" s="111"/>
      <c r="H21" s="113"/>
      <c r="I21" s="8"/>
      <c r="J21" s="111" t="str">
        <f>Fase_grups_ABS!N12</f>
        <v>Cristian  Fernandez</v>
      </c>
      <c r="K21" s="113"/>
      <c r="L21" s="51">
        <v>3</v>
      </c>
      <c r="M21" s="56"/>
      <c r="N21" s="47"/>
      <c r="O21" s="61"/>
      <c r="P21" s="8"/>
      <c r="Q21" s="8"/>
      <c r="R21" s="8"/>
      <c r="S21" s="63"/>
      <c r="T21" s="63"/>
      <c r="U21" s="61"/>
      <c r="V21" s="8"/>
      <c r="W21" s="8"/>
      <c r="X21" s="8"/>
      <c r="Y21" s="8"/>
    </row>
    <row r="22" spans="1:25" ht="15.75" customHeight="1" thickBot="1">
      <c r="A22" s="49" t="str">
        <f>IF(Fase_grups_ABS!AA480="2n",Fase_grups_ABS!N480,IF(Fase_grups_ABS!AA481="2n",Fase_grups_ABS!N481,IF(Fase_grups_ABS!AA482="2n",Fase_grups_ABS!N482,IF(Fase_grups_ABS!AA483="2n",Fase_grups_ABS!N483,"2n. Grup 28"))))</f>
        <v>2n. Grup 28</v>
      </c>
      <c r="C22" s="51">
        <v>0</v>
      </c>
      <c r="D22" s="265" t="str">
        <f>G20</f>
        <v>Carlos Chaves</v>
      </c>
      <c r="E22" s="266">
        <v>0.6666666666666666</v>
      </c>
      <c r="F22" s="80" t="s">
        <v>17</v>
      </c>
      <c r="G22" s="112" t="str">
        <f>IF(F21&gt;F23,D21,IF(F21&lt;F23,D23,""))</f>
        <v>Joan Ramon Macià</v>
      </c>
      <c r="H22" s="113"/>
      <c r="I22" s="51">
        <v>3</v>
      </c>
      <c r="J22" s="265" t="str">
        <f>IF(J23=G22,G24,G22)</f>
        <v>Dimitri Bus</v>
      </c>
      <c r="K22" s="266"/>
      <c r="L22" s="52" t="s">
        <v>18</v>
      </c>
      <c r="M22" s="57" t="str">
        <f>IF(L21&gt;L23,J21,IF(L21&lt;L23,J23,""))</f>
        <v>Cristian  Fernandez</v>
      </c>
      <c r="N22" s="45"/>
      <c r="O22" s="53">
        <v>3</v>
      </c>
      <c r="P22" s="58"/>
      <c r="Q22" s="8"/>
      <c r="R22" s="8"/>
      <c r="S22" s="63"/>
      <c r="T22" s="63"/>
      <c r="U22" s="61"/>
      <c r="V22" s="8"/>
      <c r="W22" s="8"/>
      <c r="X22" s="8"/>
      <c r="Y22" s="8"/>
    </row>
    <row r="23" spans="1:25" ht="18.75" customHeight="1" thickBot="1">
      <c r="A23" s="265" t="str">
        <f>D21</f>
        <v>Toni Sánchez</v>
      </c>
      <c r="B23" s="266"/>
      <c r="C23" s="52"/>
      <c r="D23" s="50" t="str">
        <f>IF(C22&gt;C24,A22,IF(C22&lt;C24,A24,""))</f>
        <v>Joan Ramon Macià</v>
      </c>
      <c r="E23" s="45"/>
      <c r="F23" s="53">
        <v>3</v>
      </c>
      <c r="G23" s="265" t="str">
        <f>IF(D21=G22,D23,D21)</f>
        <v>Toni Sánchez</v>
      </c>
      <c r="H23" s="266"/>
      <c r="I23" s="52" t="s">
        <v>18</v>
      </c>
      <c r="J23" s="112" t="str">
        <f>IF(I22&gt;I24,G22,IF(I22&lt;I24,G24,""))</f>
        <v>Joan Ramon Macià</v>
      </c>
      <c r="K23" s="114"/>
      <c r="L23" s="53">
        <v>0</v>
      </c>
      <c r="M23" s="58"/>
      <c r="O23" s="8"/>
      <c r="P23" s="8"/>
      <c r="Q23" s="8"/>
      <c r="R23" s="8"/>
      <c r="S23" s="63"/>
      <c r="T23" s="63"/>
      <c r="U23" s="61"/>
      <c r="V23" s="8"/>
      <c r="W23" s="8"/>
      <c r="X23" s="8"/>
      <c r="Y23" s="8"/>
    </row>
    <row r="24" spans="1:25" ht="18.75" customHeight="1" thickBot="1">
      <c r="A24" s="50" t="str">
        <f>IF(Fase_grups_ABS!AA361="1r",Fase_grups_ABS!N361,IF(Fase_grups_ABS!AA362="1r",Fase_grups_ABS!N362,IF(Fase_grups_ABS!AA363="1r",Fase_grups_ABS!N363,IF(Fase_grups_ABS!AA364="1r",Fase_grups_ABS!N364,"1r. Grup 21"))))</f>
        <v>Joan Ramon Macià</v>
      </c>
      <c r="B24" s="45"/>
      <c r="C24" s="53">
        <v>3</v>
      </c>
      <c r="D24" s="49"/>
      <c r="F24" s="8"/>
      <c r="G24" s="112" t="str">
        <f>IF(Fase_grups_ABS!AA123="2n",Fase_grups_ABS!N123,IF(Fase_grups_ABS!AA124="2n",Fase_grups_ABS!N124,IF(Fase_grups_ABS!AA125="2n",Fase_grups_ABS!N125,IF(Fase_grups_ABS!AA126="2n",Fase_grups_ABS!N126,"2n. Grup 7"))))</f>
        <v>Dimitri Bus</v>
      </c>
      <c r="H24" s="114"/>
      <c r="I24" s="53">
        <v>0</v>
      </c>
      <c r="J24" s="111"/>
      <c r="K24" s="113"/>
      <c r="L24" s="8"/>
      <c r="M24" s="8"/>
      <c r="O24" s="8"/>
      <c r="P24" s="8"/>
      <c r="Q24" s="8"/>
      <c r="R24" s="8"/>
      <c r="S24" s="271" t="str">
        <f>IF(S16=P12,P20,P12)</f>
        <v>Cristian  Fernandez</v>
      </c>
      <c r="T24" s="271">
        <v>0.7638888888888888</v>
      </c>
      <c r="U24" s="60" t="s">
        <v>15</v>
      </c>
      <c r="V24" s="57" t="str">
        <f>IF(U16&gt;U32,S16,IF(U16&lt;U32,S32,""))</f>
        <v>Jordi Latorre</v>
      </c>
      <c r="W24" s="8"/>
      <c r="X24" s="51">
        <v>0</v>
      </c>
      <c r="Y24" s="58"/>
    </row>
    <row r="25" spans="1:25" ht="18.75" customHeight="1" thickBot="1">
      <c r="A25" s="49"/>
      <c r="C25" s="8"/>
      <c r="D25" s="49" t="str">
        <f>IF(Fase_grups_ABS!AA191="1r",Fase_grups_ABS!N191,IF(Fase_grups_ABS!AA192="1r",Fase_grups_ABS!N192,IF(Fase_grups_ABS!AA193="1r",Fase_grups_ABS!N193,IF(Fase_grups_ABS!AA194="1r",Fase_grups_ABS!N194,"1r. Grup 11"))))</f>
        <v>Ferran Tudela</v>
      </c>
      <c r="F25" s="51">
        <v>3</v>
      </c>
      <c r="G25" s="111"/>
      <c r="H25" s="113"/>
      <c r="I25" s="8"/>
      <c r="J25" s="111" t="str">
        <f>Fase_grups_ABS!N13</f>
        <v>Patrick Rodriguez</v>
      </c>
      <c r="K25" s="113"/>
      <c r="L25" s="51">
        <v>2</v>
      </c>
      <c r="M25" s="58"/>
      <c r="O25" s="8"/>
      <c r="P25" s="8"/>
      <c r="Q25" s="8"/>
      <c r="R25" s="8"/>
      <c r="S25" s="63"/>
      <c r="T25" s="63"/>
      <c r="U25" s="61"/>
      <c r="V25" s="65"/>
      <c r="W25" s="62"/>
      <c r="X25" s="59"/>
      <c r="Y25" s="8"/>
    </row>
    <row r="26" spans="1:25" ht="18.75" customHeight="1" thickBot="1">
      <c r="A26" s="49" t="str">
        <f>IF(Fase_grups_ABS!AA463="1r",Fase_grups_ABS!N463,IF(Fase_grups_ABS!AA464="1r",Fase_grups_ABS!N464,IF(Fase_grups_ABS!AA465="1r",Fase_grups_ABS!N465,IF(Fase_grups_ABS!AA466="1r",Fase_grups_ABS!N466,"1r. Grup 28"))))</f>
        <v>1r. Grup 28</v>
      </c>
      <c r="C26" s="51"/>
      <c r="D26" s="265" t="str">
        <f>G24</f>
        <v>Dimitri Bus</v>
      </c>
      <c r="E26" s="266">
        <v>0.6666666666666666</v>
      </c>
      <c r="F26" s="80" t="s">
        <v>18</v>
      </c>
      <c r="G26" s="112" t="str">
        <f>IF(F25&gt;F27,D25,IF(F25&lt;F27,D27,""))</f>
        <v>Ferran Tudela</v>
      </c>
      <c r="H26" s="113"/>
      <c r="I26" s="51">
        <v>3</v>
      </c>
      <c r="J26" s="265" t="str">
        <f>IF(J27=G26,G28,G26)</f>
        <v>Carles Gallart</v>
      </c>
      <c r="K26" s="266"/>
      <c r="L26" s="52" t="s">
        <v>39</v>
      </c>
      <c r="M26" s="8" t="str">
        <f>IF(L25&gt;L27,J25,IF(L25&lt;L27,J27,""))</f>
        <v>Ferran Tudela</v>
      </c>
      <c r="O26" s="51">
        <v>3</v>
      </c>
      <c r="P26" s="58"/>
      <c r="Q26" s="8"/>
      <c r="R26" s="8"/>
      <c r="S26" s="63"/>
      <c r="T26" s="63"/>
      <c r="U26" s="61"/>
      <c r="V26" s="63"/>
      <c r="W26" s="63"/>
      <c r="X26" s="61"/>
      <c r="Y26" s="8"/>
    </row>
    <row r="27" spans="1:25" ht="18.75" customHeight="1" thickBot="1">
      <c r="A27" s="265" t="str">
        <f>D25</f>
        <v>Ferran Tudela</v>
      </c>
      <c r="B27" s="266"/>
      <c r="C27" s="52"/>
      <c r="D27" s="50">
        <f>IF(C26&gt;C28,A26,IF(C26&lt;C28,A28,""))</f>
      </c>
      <c r="E27" s="45"/>
      <c r="F27" s="53">
        <v>0</v>
      </c>
      <c r="G27" s="265">
        <f>IF(D25=G26,D27,D25)</f>
      </c>
      <c r="H27" s="266"/>
      <c r="I27" s="52" t="s">
        <v>39</v>
      </c>
      <c r="J27" s="112" t="str">
        <f>IF(I26&gt;I28,G26,IF(I26&lt;I28,G28,""))</f>
        <v>Ferran Tudela</v>
      </c>
      <c r="K27" s="114"/>
      <c r="L27" s="53">
        <v>3</v>
      </c>
      <c r="M27" s="54"/>
      <c r="N27" s="48"/>
      <c r="O27" s="59"/>
      <c r="P27" s="8"/>
      <c r="Q27" s="8"/>
      <c r="R27" s="8"/>
      <c r="S27" s="63"/>
      <c r="T27" s="63"/>
      <c r="U27" s="61"/>
      <c r="V27" s="63"/>
      <c r="W27" s="63"/>
      <c r="X27" s="61"/>
      <c r="Y27" s="8"/>
    </row>
    <row r="28" spans="1:25" ht="18.75" customHeight="1" thickBot="1">
      <c r="A28" s="50" t="str">
        <f>IF(Fase_grups_ABS!AA378="2n",Fase_grups_ABS!N378,IF(Fase_grups_ABS!AA379="2n",Fase_grups_ABS!N379,IF(Fase_grups_ABS!AA380="2n",Fase_grups_ABS!N380,IF(Fase_grups_ABS!AA381="2n",Fase_grups_ABS!N381,"2n. Grup 22"))))</f>
        <v>2n. Grup 22</v>
      </c>
      <c r="B28" s="45"/>
      <c r="C28" s="53"/>
      <c r="D28" s="49"/>
      <c r="F28" s="8"/>
      <c r="G28" s="112" t="str">
        <f>IF(Fase_grups_ABS!AA123="4t",Fase_grups_ABS!N123,IF(Fase_grups_ABS!AA124="4t",Fase_grups_ABS!N124,IF(Fase_grups_ABS!AA125="4t",Fase_grups_ABS!N125,IF(Fase_grups_ABS!AA126="4t",Fase_grups_ABS!N126,"4t. Grup 7"))))</f>
        <v>Carles Gallart</v>
      </c>
      <c r="H28" s="114"/>
      <c r="I28" s="53">
        <v>0</v>
      </c>
      <c r="J28" s="111"/>
      <c r="K28" s="113"/>
      <c r="L28" s="8"/>
      <c r="M28" s="271" t="str">
        <f>IF(M26=J25,J27,J25)</f>
        <v>Patrick Rodriguez</v>
      </c>
      <c r="N28" s="271">
        <v>0.7152777777777778</v>
      </c>
      <c r="O28" s="60" t="s">
        <v>17</v>
      </c>
      <c r="P28" s="8" t="str">
        <f>IF(O26&gt;O30,M26,IF(O26&lt;O30,M30,""))</f>
        <v>Ferran Tudela</v>
      </c>
      <c r="Q28" s="8"/>
      <c r="R28" s="51">
        <v>1</v>
      </c>
      <c r="S28" s="56"/>
      <c r="T28" s="63"/>
      <c r="U28" s="61"/>
      <c r="V28" s="63"/>
      <c r="W28" s="63"/>
      <c r="X28" s="61"/>
      <c r="Y28" s="8"/>
    </row>
    <row r="29" spans="1:25" ht="18.75" customHeight="1" thickBot="1">
      <c r="A29" s="49"/>
      <c r="C29" s="8"/>
      <c r="D29" s="49" t="str">
        <f>IF(Fase_grups_ABS!AA242="2n",Fase_grups_ABS!N242,IF(Fase_grups_ABS!AA243="2n",Fase_grups_ABS!N243,IF(Fase_grups_ABS!AA244="2n",Fase_grups_ABS!N244,IF(Fase_grups_ABS!AA245="2n",Fase_grups_ABS!N245,"2n. Grup 14"))))</f>
        <v>Gerard Bernadó</v>
      </c>
      <c r="F29" s="51">
        <v>3</v>
      </c>
      <c r="G29" s="111"/>
      <c r="H29" s="113"/>
      <c r="I29" s="8"/>
      <c r="J29" s="111" t="str">
        <f>IF(Fase_grups_ABS!AA54="4t",Fase_grups_ABS!N54,IF(Fase_grups_ABS!AA55="4t",Fase_grups_ABS!N55,IF(Fase_grups_ABS!AA56="4t",Fase_grups_ABS!N56,IF(Fase_grups_ABS!AA57="4t",Fase_grups_ABS!N57,"4t. Grup 3"))))</f>
        <v>Albert Ribera</v>
      </c>
      <c r="K29" s="113"/>
      <c r="L29" s="51">
        <v>1</v>
      </c>
      <c r="M29" s="56"/>
      <c r="N29" s="47"/>
      <c r="O29" s="61"/>
      <c r="P29" s="62"/>
      <c r="Q29" s="62"/>
      <c r="R29" s="59"/>
      <c r="S29" s="63"/>
      <c r="T29" s="63"/>
      <c r="U29" s="61"/>
      <c r="V29" s="63"/>
      <c r="W29" s="63"/>
      <c r="X29" s="61"/>
      <c r="Y29" s="8"/>
    </row>
    <row r="30" spans="1:25" ht="18.75" customHeight="1" thickBot="1">
      <c r="A30" s="49" t="str">
        <f>IF(Fase_grups_ABS!AA514="2n",Fase_grups_ABS!N514,IF(Fase_grups_ABS!AA515="2n",Fase_grups_ABS!N515,IF(Fase_grups_ABS!AA516="2n",Fase_grups_ABS!N516,IF(Fase_grups_ABS!AA517="2n",Fase_grups_ABS!N517,"2n. Grup 30"))))</f>
        <v>2n. Grup 30</v>
      </c>
      <c r="C30" s="51">
        <v>0</v>
      </c>
      <c r="D30" s="265" t="str">
        <f>G28</f>
        <v>Carles Gallart</v>
      </c>
      <c r="E30" s="266">
        <v>0.6666666666666666</v>
      </c>
      <c r="F30" s="80" t="s">
        <v>39</v>
      </c>
      <c r="G30" s="112" t="str">
        <f>IF(F29&gt;F31,D29,IF(F29&lt;F31,D31,""))</f>
        <v>Gerard Bernadó</v>
      </c>
      <c r="H30" s="113"/>
      <c r="I30" s="51">
        <v>0</v>
      </c>
      <c r="J30" s="265" t="str">
        <f>IF(J31=G30,G32,G30)</f>
        <v>Gerard Bernadó</v>
      </c>
      <c r="K30" s="266"/>
      <c r="L30" s="52" t="s">
        <v>40</v>
      </c>
      <c r="M30" s="57" t="str">
        <f>IF(L29&gt;L31,J29,IF(L29&lt;L31,J31,""))</f>
        <v>Eduard Viladegut</v>
      </c>
      <c r="N30" s="45"/>
      <c r="O30" s="53">
        <v>0</v>
      </c>
      <c r="P30" s="56"/>
      <c r="Q30" s="63"/>
      <c r="R30" s="61"/>
      <c r="S30" s="63"/>
      <c r="T30" s="63"/>
      <c r="U30" s="61"/>
      <c r="V30" s="63"/>
      <c r="W30" s="63"/>
      <c r="X30" s="61"/>
      <c r="Y30" s="8"/>
    </row>
    <row r="31" spans="1:25" ht="18.75" customHeight="1" thickBot="1">
      <c r="A31" s="265" t="str">
        <f>D29</f>
        <v>Gerard Bernadó</v>
      </c>
      <c r="B31" s="266"/>
      <c r="C31" s="52"/>
      <c r="D31" s="50" t="str">
        <f>IF(C30&gt;C32,A30,IF(C30&lt;C32,A32,""))</f>
        <v>Josep Perelló</v>
      </c>
      <c r="E31" s="45"/>
      <c r="F31" s="53">
        <v>0</v>
      </c>
      <c r="G31" s="265" t="str">
        <f>IF(D29=G30,D31,D29)</f>
        <v>Josep Perelló</v>
      </c>
      <c r="H31" s="266"/>
      <c r="I31" s="52" t="s">
        <v>40</v>
      </c>
      <c r="J31" s="112" t="str">
        <f>IF(I30&gt;I32,G30,IF(I30&lt;I32,G32,""))</f>
        <v>Eduard Viladegut</v>
      </c>
      <c r="K31" s="114"/>
      <c r="L31" s="53">
        <v>4</v>
      </c>
      <c r="M31" s="58"/>
      <c r="O31" s="8"/>
      <c r="P31" s="63"/>
      <c r="Q31" s="63"/>
      <c r="R31" s="61"/>
      <c r="S31" s="63"/>
      <c r="T31" s="63"/>
      <c r="U31" s="61"/>
      <c r="V31" s="63"/>
      <c r="W31" s="63"/>
      <c r="X31" s="61"/>
      <c r="Y31" s="8"/>
    </row>
    <row r="32" spans="1:25" ht="18.75" customHeight="1" thickBot="1">
      <c r="A32" s="50" t="str">
        <f>IF(Fase_grups_ABS!AA327="1r",Fase_grups_ABS!N327,IF(Fase_grups_ABS!AA328="1r",Fase_grups_ABS!N328,IF(Fase_grups_ABS!AA329="1r",Fase_grups_ABS!N329,IF(Fase_grups_ABS!AA330="1r",Fase_grups_ABS!N330,"1r. Grup 19"))))</f>
        <v>Josep Perelló</v>
      </c>
      <c r="B32" s="45"/>
      <c r="C32" s="53">
        <v>3</v>
      </c>
      <c r="D32" s="49"/>
      <c r="F32" s="8"/>
      <c r="G32" s="112" t="str">
        <f>IF(Fase_grups_ABS!AA106="1r",Fase_grups_ABS!N106,IF(Fase_grups_ABS!AA107="1r",Fase_grups_ABS!N107,IF(Fase_grups_ABS!AA108="1r",Fase_grups_ABS!N108,IF(Fase_grups_ABS!AA109="1r",Fase_grups_ABS!N109,"1r. Grup 6"))))</f>
        <v>Eduard Viladegut</v>
      </c>
      <c r="H32" s="114"/>
      <c r="I32" s="53">
        <v>3</v>
      </c>
      <c r="J32" s="111"/>
      <c r="K32" s="113"/>
      <c r="L32" s="8"/>
      <c r="M32" s="8"/>
      <c r="O32" s="8"/>
      <c r="P32" s="271" t="str">
        <f>IF(P36=M34,M38,M34)</f>
        <v>Albert Feliu</v>
      </c>
      <c r="Q32" s="271">
        <v>0.7465277777777778</v>
      </c>
      <c r="R32" s="60" t="s">
        <v>16</v>
      </c>
      <c r="S32" s="57" t="str">
        <f>IF(R28&gt;R36,P28,IF(R28&lt;R36,P36,""))</f>
        <v>Oriol Mir</v>
      </c>
      <c r="T32" s="57"/>
      <c r="U32" s="53">
        <v>2</v>
      </c>
      <c r="V32" s="56"/>
      <c r="W32" s="63"/>
      <c r="X32" s="61"/>
      <c r="Y32" s="8"/>
    </row>
    <row r="33" spans="1:25" ht="18.75" customHeight="1" thickBot="1">
      <c r="A33" s="49"/>
      <c r="C33" s="8"/>
      <c r="D33" s="49" t="str">
        <f>IF(Fase_grups_ABS!AA259="1r",Fase_grups_ABS!N259,IF(Fase_grups_ABS!AA260="1r",Fase_grups_ABS!N260,IF(Fase_grups_ABS!AA261="1r",Fase_grups_ABS!N261,IF(Fase_grups_ABS!AA262="1r",Fase_grups_ABS!N262,"1r. Grup 15"))))</f>
        <v>Xavier Farré</v>
      </c>
      <c r="F33" s="51">
        <v>2</v>
      </c>
      <c r="G33" s="111"/>
      <c r="H33" s="113"/>
      <c r="I33" s="8"/>
      <c r="J33" s="111" t="str">
        <f>IF(Fase_grups_ABS!AA71="1r",Fase_grups_ABS!N71,IF(Fase_grups_ABS!AA72="1r",Fase_grups_ABS!N72,IF(Fase_grups_ABS!AA73="1r",Fase_grups_ABS!N73,IF(Fase_grups_ABS!AA74="1r",Fase_grups_ABS!N74,IF(Fase_grups_ABS!AA75="1r",Fase_grups_ABS!N75,"1r. Grup 4")))))</f>
        <v>Albert Feliu</v>
      </c>
      <c r="K33" s="113"/>
      <c r="L33" s="51">
        <v>3</v>
      </c>
      <c r="M33" s="58"/>
      <c r="O33" s="8"/>
      <c r="P33" s="63"/>
      <c r="Q33" s="63"/>
      <c r="R33" s="61"/>
      <c r="S33" s="49"/>
      <c r="T33" s="8"/>
      <c r="U33" s="8"/>
      <c r="V33" s="63"/>
      <c r="W33" s="63"/>
      <c r="X33" s="61"/>
      <c r="Y33" s="8"/>
    </row>
    <row r="34" spans="1:25" ht="18.75" customHeight="1" thickBot="1">
      <c r="A34" s="49" t="str">
        <f>IF(Fase_grups_ABS!AA531="1r",Fase_grups_ABS!N531,IF(Fase_grups_ABS!AA532="1r",Fase_grups_ABS!N532,IF(Fase_grups_ABS!AA533="1r",Fase_grups_ABS!N533,IF(Fase_grups_ABS!AA534="1r",Fase_grups_ABS!N534,"1r. Grup 31"))))</f>
        <v>1r. Grup 31</v>
      </c>
      <c r="C34" s="51">
        <v>0</v>
      </c>
      <c r="D34" s="265" t="str">
        <f>G32</f>
        <v>Eduard Viladegut</v>
      </c>
      <c r="E34" s="266">
        <v>0.6666666666666666</v>
      </c>
      <c r="F34" s="80" t="s">
        <v>40</v>
      </c>
      <c r="G34" s="112" t="str">
        <f>IF(F33&gt;F35,D33,IF(F33&lt;F35,D35,""))</f>
        <v>Pau Palau</v>
      </c>
      <c r="H34" s="113"/>
      <c r="I34" s="51">
        <v>3</v>
      </c>
      <c r="J34" s="265" t="str">
        <f>IF(J35=G34,G36,G34)</f>
        <v>Guillem Sans</v>
      </c>
      <c r="K34" s="266"/>
      <c r="L34" s="52" t="s">
        <v>41</v>
      </c>
      <c r="M34" s="8" t="str">
        <f>IF(L33&gt;L35,J33,IF(L33&lt;L35,J35,""))</f>
        <v>Albert Feliu</v>
      </c>
      <c r="O34" s="51">
        <v>0</v>
      </c>
      <c r="P34" s="56"/>
      <c r="Q34" s="63"/>
      <c r="R34" s="61"/>
      <c r="S34" s="8"/>
      <c r="T34" s="8"/>
      <c r="U34" s="8"/>
      <c r="V34" s="63"/>
      <c r="W34" s="63"/>
      <c r="X34" s="61"/>
      <c r="Y34" s="8"/>
    </row>
    <row r="35" spans="1:25" ht="18.75" customHeight="1" thickBot="1">
      <c r="A35" s="265" t="str">
        <f>D33</f>
        <v>Xavier Farré</v>
      </c>
      <c r="B35" s="266"/>
      <c r="C35" s="52"/>
      <c r="D35" s="50" t="str">
        <f>IF(C34&gt;C36,A34,IF(C34&lt;C36,A36,""))</f>
        <v>Pau Palau</v>
      </c>
      <c r="E35" s="45"/>
      <c r="F35" s="53">
        <v>3</v>
      </c>
      <c r="G35" s="265" t="str">
        <f>IF(D33=G34,D35,D33)</f>
        <v>Xavier Farré</v>
      </c>
      <c r="H35" s="266"/>
      <c r="I35" s="80" t="s">
        <v>41</v>
      </c>
      <c r="J35" s="112" t="str">
        <f>IF(I34&gt;I36,G34,IF(I34&lt;I36,G36,""))</f>
        <v>Pau Palau</v>
      </c>
      <c r="K35" s="114"/>
      <c r="L35" s="53">
        <v>1</v>
      </c>
      <c r="M35" s="54"/>
      <c r="N35" s="48"/>
      <c r="O35" s="59"/>
      <c r="P35" s="63"/>
      <c r="Q35" s="63"/>
      <c r="R35" s="61"/>
      <c r="S35" s="8"/>
      <c r="T35" s="8"/>
      <c r="U35" s="8"/>
      <c r="V35" s="63"/>
      <c r="W35" s="63"/>
      <c r="X35" s="61"/>
      <c r="Y35" s="8"/>
    </row>
    <row r="36" spans="1:25" ht="18.75" customHeight="1" thickBot="1">
      <c r="A36" s="50" t="str">
        <f>IF(Fase_grups_ABS!AA310="2n",Fase_grups_ABS!N310,IF(Fase_grups_ABS!AA311="2n",Fase_grups_ABS!N311,IF(Fase_grups_ABS!AA312="2n",Fase_grups_ABS!N312,IF(Fase_grups_ABS!AA313="2n",Fase_grups_ABS!N313,"2n. Grup 19"))))</f>
        <v>Pau Palau</v>
      </c>
      <c r="B36" s="45"/>
      <c r="C36" s="53">
        <v>3</v>
      </c>
      <c r="D36" s="49"/>
      <c r="F36" s="8"/>
      <c r="G36" s="112" t="str">
        <f>IF(Fase_grups_ABS!AA89="4t",Fase_grups_ABS!N89,IF(Fase_grups_ABS!AA90="4t",Fase_grups_ABS!N90,IF(Fase_grups_ABS!AA91="4t",Fase_grups_ABS!N91,IF(Fase_grups_ABS!AA92="4t",Fase_grups_ABS!N92,IF(Fase_grups_ABS!AA93="4t",Fase_grups_ABS!N93,"4t. Grup 5")))))</f>
        <v>Guillem Sans</v>
      </c>
      <c r="H36" s="114"/>
      <c r="I36" s="53">
        <v>0</v>
      </c>
      <c r="J36" s="111"/>
      <c r="K36" s="113"/>
      <c r="L36" s="8"/>
      <c r="M36" s="271" t="str">
        <f>IF(M34=J33,J35,J33)</f>
        <v>Pau Palau</v>
      </c>
      <c r="N36" s="271">
        <v>0.7152777777777778</v>
      </c>
      <c r="O36" s="60" t="s">
        <v>18</v>
      </c>
      <c r="P36" s="57" t="str">
        <f>IF(O34&gt;O38,M34,IF(O34&lt;O38,M38,""))</f>
        <v>Oriol Mir</v>
      </c>
      <c r="Q36" s="57"/>
      <c r="R36" s="53">
        <v>3</v>
      </c>
      <c r="S36" s="58"/>
      <c r="T36" s="8"/>
      <c r="U36" s="8"/>
      <c r="V36" s="63"/>
      <c r="W36" s="63"/>
      <c r="X36" s="61"/>
      <c r="Y36" s="8"/>
    </row>
    <row r="37" spans="1:25" ht="18.75" customHeight="1" thickBot="1">
      <c r="A37" s="49"/>
      <c r="C37" s="8"/>
      <c r="D37" s="49" t="str">
        <f>IF(Fase_grups_ABS!AA174="2n",Fase_grups_ABS!N174,IF(Fase_grups_ABS!AA175="2n",Fase_grups_ABS!N175,IF(Fase_grups_ABS!AA176="2n",Fase_grups_ABS!N176,IF(Fase_grups_ABS!AA177="2n",Fase_grups_ABS!N177,"2n. Grup 10"))))</f>
        <v>Aleix Farrero</v>
      </c>
      <c r="F37" s="51">
        <v>3</v>
      </c>
      <c r="G37" s="111"/>
      <c r="H37" s="113"/>
      <c r="I37" s="8"/>
      <c r="J37" s="111" t="str">
        <f>Fase_grups_ABS!N10</f>
        <v>Oriol Mir</v>
      </c>
      <c r="K37" s="113"/>
      <c r="L37" s="51">
        <v>3</v>
      </c>
      <c r="M37" s="56"/>
      <c r="N37" s="47"/>
      <c r="O37" s="61"/>
      <c r="P37" s="8"/>
      <c r="Q37" s="8"/>
      <c r="R37" s="8"/>
      <c r="S37" s="8"/>
      <c r="T37" s="8"/>
      <c r="U37" s="8"/>
      <c r="V37" s="63"/>
      <c r="W37" s="63"/>
      <c r="X37" s="61"/>
      <c r="Y37" s="8"/>
    </row>
    <row r="38" spans="1:25" ht="18.75" customHeight="1" thickBot="1">
      <c r="A38" s="49" t="str">
        <f>IF(Fase_grups_ABS!AA446="2n",Fase_grups_ABS!N446,IF(Fase_grups_ABS!AA447="2n",Fase_grups_ABS!N447,IF(Fase_grups_ABS!AA448="2n",Fase_grups_ABS!N448,IF(Fase_grups_ABS!AA449="2n",Fase_grups_ABS!N449,"2n. Grup 26"))))</f>
        <v>2n. Grup 26</v>
      </c>
      <c r="C38" s="51"/>
      <c r="D38" s="265" t="str">
        <f>G36</f>
        <v>Guillem Sans</v>
      </c>
      <c r="E38" s="266">
        <v>0.6666666666666666</v>
      </c>
      <c r="F38" s="52"/>
      <c r="G38" s="112" t="str">
        <f>IF(F37&gt;F39,D37,IF(F37&lt;F39,D39,""))</f>
        <v>Aleix Farrero</v>
      </c>
      <c r="H38" s="113"/>
      <c r="I38" s="51">
        <v>1</v>
      </c>
      <c r="J38" s="265" t="str">
        <f>IF(J39=G38,G40,G38)</f>
        <v>Aleix Farrero</v>
      </c>
      <c r="K38" s="266"/>
      <c r="L38" s="52" t="s">
        <v>42</v>
      </c>
      <c r="M38" s="57" t="str">
        <f>IF(L37&gt;L39,J37,IF(L37&lt;L39,J39,""))</f>
        <v>Oriol Mir</v>
      </c>
      <c r="N38" s="45"/>
      <c r="O38" s="53">
        <v>3</v>
      </c>
      <c r="P38" s="58"/>
      <c r="Q38" s="8"/>
      <c r="R38" s="8"/>
      <c r="S38" s="8"/>
      <c r="T38" s="8"/>
      <c r="U38" s="8"/>
      <c r="V38" s="63"/>
      <c r="W38" s="63"/>
      <c r="X38" s="61"/>
      <c r="Y38" s="8"/>
    </row>
    <row r="39" spans="1:25" ht="18.75" customHeight="1" thickBot="1">
      <c r="A39" s="265" t="str">
        <f>D37</f>
        <v>Aleix Farrero</v>
      </c>
      <c r="B39" s="266"/>
      <c r="C39" s="52"/>
      <c r="D39" s="50">
        <f>IF(C38&gt;C40,A38,IF(C38&lt;C40,A40,""))</f>
      </c>
      <c r="E39" s="45"/>
      <c r="F39" s="53">
        <v>0</v>
      </c>
      <c r="G39" s="265">
        <f>IF(D37=G38,D39,D37)</f>
      </c>
      <c r="H39" s="266"/>
      <c r="I39" s="80" t="s">
        <v>42</v>
      </c>
      <c r="J39" s="112" t="str">
        <f>IF(I38&gt;I40,G38,IF(I38&lt;I40,G40,""))</f>
        <v>Arnau Calvet</v>
      </c>
      <c r="K39" s="114"/>
      <c r="L39" s="53">
        <v>0</v>
      </c>
      <c r="M39" s="58"/>
      <c r="O39" s="8"/>
      <c r="P39" s="8"/>
      <c r="Q39" s="8"/>
      <c r="R39" s="8"/>
      <c r="S39" s="8"/>
      <c r="T39" s="8"/>
      <c r="U39" s="8"/>
      <c r="V39" s="63"/>
      <c r="W39" s="63"/>
      <c r="X39" s="61"/>
      <c r="Y39" s="8"/>
    </row>
    <row r="40" spans="1:27" ht="18.75" customHeight="1" thickBot="1">
      <c r="A40" s="50" t="str">
        <f>IF(Fase_grups_ABS!AA395="1r",Fase_grups_ABS!N395,IF(Fase_grups_ABS!AA396="1r",Fase_grups_ABS!N396,IF(Fase_grups_ABS!AA397="1r",Fase_grups_ABS!N397,IF(Fase_grups_ABS!AA398="1r",Fase_grups_ABS!N398,"1r. Grup 23"))))</f>
        <v>1r. Grup 23</v>
      </c>
      <c r="B40" s="45"/>
      <c r="C40" s="53"/>
      <c r="D40" s="49"/>
      <c r="F40" s="8"/>
      <c r="G40" s="112" t="str">
        <f>IF(Fase_grups_ABS!AA140="2n",Fase_grups_ABS!N140,IF(Fase_grups_ABS!AA141="2n",Fase_grups_ABS!N141,IF(Fase_grups_ABS!AA142="2n",Fase_grups_ABS!N142,IF(Fase_grups_ABS!AA143="2n",Fase_grups_ABS!N143,IF(Fase_grups_ABS!AA144="2n",Fase_grups_ABS!N144,"2n. Grup 8")))))</f>
        <v>Arnau Calvet</v>
      </c>
      <c r="H40" s="114"/>
      <c r="I40" s="53">
        <v>3</v>
      </c>
      <c r="J40" s="111"/>
      <c r="K40" s="113"/>
      <c r="L40" s="8"/>
      <c r="M40" s="8"/>
      <c r="O40" s="8"/>
      <c r="P40" s="8"/>
      <c r="Q40" s="8"/>
      <c r="R40" s="8"/>
      <c r="S40" s="8"/>
      <c r="T40" s="8"/>
      <c r="U40" s="8"/>
      <c r="V40" s="55"/>
      <c r="W40" s="64">
        <v>0.78125</v>
      </c>
      <c r="X40" s="81" t="s">
        <v>15</v>
      </c>
      <c r="Y40" s="57" t="str">
        <f>IF(X24&gt;X56,V24,IF(X24&lt;X56,V56,""))</f>
        <v>David González</v>
      </c>
      <c r="Z40" s="45"/>
      <c r="AA40" s="45"/>
    </row>
    <row r="41" spans="1:25" ht="18.75" customHeight="1" thickBot="1">
      <c r="A41" s="49"/>
      <c r="C41" s="8"/>
      <c r="D41" s="49" t="str">
        <f>IF(Fase_grups_ABS!AA174="1r",Fase_grups_ABS!N174,IF(Fase_grups_ABS!AA175="1r",Fase_grups_ABS!N175,IF(Fase_grups_ABS!AA176="1r",Fase_grups_ABS!N176,IF(Fase_grups_ABS!AA177="1r",Fase_grups_ABS!N177,"1r. Grup 10"))))</f>
        <v>Pol Patau</v>
      </c>
      <c r="F41" s="51">
        <v>3</v>
      </c>
      <c r="G41" s="111"/>
      <c r="H41" s="113"/>
      <c r="I41" s="8"/>
      <c r="J41" s="111" t="str">
        <f>Fase_grups_ABS!N11</f>
        <v>Ricard Gomez</v>
      </c>
      <c r="K41" s="113"/>
      <c r="L41" s="51">
        <v>3</v>
      </c>
      <c r="M41" s="58"/>
      <c r="O41" s="8"/>
      <c r="P41" s="8"/>
      <c r="Q41" s="8"/>
      <c r="R41" s="8"/>
      <c r="S41" s="8"/>
      <c r="T41" s="8"/>
      <c r="U41" s="8"/>
      <c r="V41" s="63"/>
      <c r="W41" s="63"/>
      <c r="X41" s="61"/>
      <c r="Y41" s="8"/>
    </row>
    <row r="42" spans="1:25" ht="18.75" customHeight="1" thickBot="1">
      <c r="A42" s="49" t="str">
        <f>IF(Fase_grups_ABS!AA446="1r",Fase_grups_ABS!N446,IF(Fase_grups_ABS!AA447="1r",Fase_grups_ABS!N447,IF(Fase_grups_ABS!AA448="1r",Fase_grups_ABS!N448,IF(Fase_grups_ABS!AA449="1r",Fase_grups_ABS!N449,"1r. Grup 26"))))</f>
        <v>1r. Grup 26</v>
      </c>
      <c r="C42" s="51"/>
      <c r="D42" s="265" t="str">
        <f>G40</f>
        <v>Arnau Calvet</v>
      </c>
      <c r="E42" s="266">
        <v>0.6666666666666666</v>
      </c>
      <c r="F42" s="52"/>
      <c r="G42" s="112" t="str">
        <f>IF(F41&gt;F43,D41,IF(F41&lt;F43,D43,""))</f>
        <v>Pol Patau</v>
      </c>
      <c r="H42" s="113"/>
      <c r="I42" s="51">
        <v>3</v>
      </c>
      <c r="J42" s="265" t="str">
        <f>IF(J43=G42,G44,G42)</f>
        <v>Pere Porta</v>
      </c>
      <c r="K42" s="266"/>
      <c r="L42" s="52" t="s">
        <v>43</v>
      </c>
      <c r="M42" s="8" t="str">
        <f>IF(L41&gt;L43,J41,IF(L41&lt;L43,J43,""))</f>
        <v>Ricard Gomez</v>
      </c>
      <c r="O42" s="51">
        <v>3</v>
      </c>
      <c r="P42" s="58"/>
      <c r="Q42" s="8"/>
      <c r="R42" s="8"/>
      <c r="S42" s="8"/>
      <c r="T42" s="8"/>
      <c r="U42" s="8"/>
      <c r="V42" s="63"/>
      <c r="W42" s="63"/>
      <c r="X42" s="61"/>
      <c r="Y42" s="49" t="s">
        <v>264</v>
      </c>
    </row>
    <row r="43" spans="1:25" ht="18.75" customHeight="1" thickBot="1">
      <c r="A43" s="265" t="str">
        <f>D41</f>
        <v>Pol Patau</v>
      </c>
      <c r="B43" s="266"/>
      <c r="C43" s="52"/>
      <c r="D43" s="50">
        <f>IF(C42&gt;C44,A42,IF(C42&lt;C44,A44,""))</f>
      </c>
      <c r="E43" s="45"/>
      <c r="F43" s="53">
        <v>0</v>
      </c>
      <c r="G43" s="265">
        <f>IF(D41=G42,D43,D41)</f>
      </c>
      <c r="H43" s="266"/>
      <c r="I43" s="80" t="s">
        <v>43</v>
      </c>
      <c r="J43" s="112" t="str">
        <f>IF(I42&gt;I44,G42,IF(I42&lt;I44,G44,""))</f>
        <v>Pol Patau</v>
      </c>
      <c r="K43" s="114"/>
      <c r="L43" s="53">
        <v>0</v>
      </c>
      <c r="M43" s="54"/>
      <c r="N43" s="48"/>
      <c r="O43" s="59"/>
      <c r="P43" s="8"/>
      <c r="Q43" s="8"/>
      <c r="R43" s="8"/>
      <c r="S43" s="8"/>
      <c r="T43" s="8"/>
      <c r="U43" s="8"/>
      <c r="V43" s="63"/>
      <c r="W43" s="63"/>
      <c r="X43" s="61"/>
      <c r="Y43" s="8"/>
    </row>
    <row r="44" spans="1:25" ht="18.75" customHeight="1" thickBot="1">
      <c r="A44" s="50" t="str">
        <f>IF(Fase_grups_ABS!AA395="2n",Fase_grups_ABS!N395,IF(Fase_grups_ABS!AA396="2n",Fase_grups_ABS!N396,IF(Fase_grups_ABS!AA397="2n",Fase_grups_ABS!N397,IF(Fase_grups_ABS!AA398="2n",Fase_grups_ABS!N398,"2n. Grup 23"))))</f>
        <v>2n. Grup 23</v>
      </c>
      <c r="B44" s="45"/>
      <c r="C44" s="53"/>
      <c r="D44" s="49"/>
      <c r="F44" s="8"/>
      <c r="G44" s="112" t="str">
        <f>IF(Fase_grups_ABS!AA140="1r",Fase_grups_ABS!N140,IF(Fase_grups_ABS!AA141="1r",Fase_grups_ABS!N141,IF(Fase_grups_ABS!AA142="1r",Fase_grups_ABS!N142,IF(Fase_grups_ABS!AA143="1r",Fase_grups_ABS!N143,IF(Fase_grups_ABS!AA144="1r",Fase_grups_ABS!N144,"1r. Grup 8")))))</f>
        <v>Pere Porta</v>
      </c>
      <c r="H44" s="114"/>
      <c r="I44" s="53">
        <v>1</v>
      </c>
      <c r="J44" s="111"/>
      <c r="K44" s="113"/>
      <c r="L44" s="8"/>
      <c r="M44" s="271" t="str">
        <f>IF(M42=J41,J43,J41)</f>
        <v>Pol Patau</v>
      </c>
      <c r="N44" s="271">
        <v>0.7152777777777778</v>
      </c>
      <c r="O44" s="60" t="s">
        <v>39</v>
      </c>
      <c r="P44" s="57" t="str">
        <f>IF(O42&gt;O46,M42,IF(O42&lt;O46,M46,""))</f>
        <v>Ricard Gomez</v>
      </c>
      <c r="Q44" s="8"/>
      <c r="R44" s="51">
        <v>3</v>
      </c>
      <c r="S44" s="58"/>
      <c r="T44" s="8"/>
      <c r="U44" s="8"/>
      <c r="V44" s="63"/>
      <c r="W44" s="63"/>
      <c r="X44" s="61"/>
      <c r="Y44" s="8"/>
    </row>
    <row r="45" spans="1:25" ht="18.75" customHeight="1" thickBot="1">
      <c r="A45" s="49"/>
      <c r="C45" s="8"/>
      <c r="D45" s="49" t="str">
        <f>IF(Fase_grups_ABS!AA259="2n",Fase_grups_ABS!N259,IF(Fase_grups_ABS!AA260="2n",Fase_grups_ABS!N260,IF(Fase_grups_ABS!AA261="2n",Fase_grups_ABS!N261,IF(Fase_grups_ABS!AA262="2n",Fase_grups_ABS!N262,"2n. Grup 15"))))</f>
        <v>Carlos Canós</v>
      </c>
      <c r="F45" s="51">
        <v>0</v>
      </c>
      <c r="G45" s="111"/>
      <c r="H45" s="113"/>
      <c r="I45" s="8"/>
      <c r="J45" s="111" t="str">
        <f>IF(Fase_grups_ABS!AA71="2n",Fase_grups_ABS!N71,IF(Fase_grups_ABS!AA72="2n",Fase_grups_ABS!N72,IF(Fase_grups_ABS!AA73="2n",Fase_grups_ABS!N73,IF(Fase_grups_ABS!AA74="2n",Fase_grups_ABS!N74,IF(Fase_grups_ABS!AA75="2n",Fase_grups_ABS!N75,"2n. Grup 4")))))</f>
        <v>Jordi Fontanet</v>
      </c>
      <c r="K45" s="113"/>
      <c r="L45" s="51">
        <v>3</v>
      </c>
      <c r="M45" s="56"/>
      <c r="N45" s="47"/>
      <c r="O45" s="61"/>
      <c r="P45" s="62"/>
      <c r="Q45" s="62"/>
      <c r="R45" s="59"/>
      <c r="S45" s="8"/>
      <c r="T45" s="8"/>
      <c r="U45" s="8"/>
      <c r="V45" s="63"/>
      <c r="W45" s="63"/>
      <c r="X45" s="61"/>
      <c r="Y45" s="8"/>
    </row>
    <row r="46" spans="1:25" ht="18.75" customHeight="1" thickBot="1">
      <c r="A46" s="49" t="str">
        <f>IF(Fase_grups_ABS!AA531="2n",Fase_grups_ABS!N531,IF(Fase_grups_ABS!AA532="2n",Fase_grups_ABS!N532,IF(Fase_grups_ABS!AA533="2n",Fase_grups_ABS!N533,IF(Fase_grups_ABS!AA534="2n",Fase_grups_ABS!N534,"2n. Grup 31"))))</f>
        <v>2n. Grup 31</v>
      </c>
      <c r="C46" s="51">
        <v>0</v>
      </c>
      <c r="D46" s="265" t="str">
        <f>G44</f>
        <v>Pere Porta</v>
      </c>
      <c r="E46" s="266">
        <v>0.6666666666666666</v>
      </c>
      <c r="F46" s="80" t="s">
        <v>41</v>
      </c>
      <c r="G46" s="112" t="str">
        <f>IF(F45&gt;F47,D45,IF(F45&lt;F47,D47,""))</f>
        <v>Josep Monforte</v>
      </c>
      <c r="H46" s="113"/>
      <c r="I46" s="51">
        <v>3</v>
      </c>
      <c r="J46" s="265" t="str">
        <f>IF(J47=G46,G48,G46)</f>
        <v>David Arregui</v>
      </c>
      <c r="K46" s="266"/>
      <c r="L46" s="52" t="s">
        <v>44</v>
      </c>
      <c r="M46" s="57" t="str">
        <f>IF(L45&gt;L47,J45,IF(L45&lt;L47,J47,""))</f>
        <v>Jordi Fontanet</v>
      </c>
      <c r="N46" s="45"/>
      <c r="O46" s="53">
        <v>0</v>
      </c>
      <c r="P46" s="56"/>
      <c r="Q46" s="63"/>
      <c r="R46" s="61"/>
      <c r="S46" s="8"/>
      <c r="T46" s="8"/>
      <c r="U46" s="8"/>
      <c r="V46" s="63"/>
      <c r="W46" s="63"/>
      <c r="X46" s="61"/>
      <c r="Y46" s="8"/>
    </row>
    <row r="47" spans="1:25" ht="18.75" customHeight="1" thickBot="1">
      <c r="A47" s="265" t="str">
        <f>D45</f>
        <v>Carlos Canós</v>
      </c>
      <c r="B47" s="266"/>
      <c r="C47" s="52"/>
      <c r="D47" s="50" t="str">
        <f>IF(C46&gt;C48,A46,IF(C46&lt;C48,A48,""))</f>
        <v>Josep Monforte</v>
      </c>
      <c r="E47" s="45"/>
      <c r="F47" s="53">
        <v>3</v>
      </c>
      <c r="G47" s="265" t="str">
        <f>IF(D45=G46,D47,D45)</f>
        <v>Carlos Canós</v>
      </c>
      <c r="H47" s="266"/>
      <c r="I47" s="80" t="s">
        <v>44</v>
      </c>
      <c r="J47" s="112" t="str">
        <f>IF(I46&gt;I48,G46,IF(I46&lt;I48,G48,""))</f>
        <v>Josep Monforte</v>
      </c>
      <c r="K47" s="114"/>
      <c r="L47" s="53">
        <v>1</v>
      </c>
      <c r="M47" s="58"/>
      <c r="O47" s="8"/>
      <c r="P47" s="63"/>
      <c r="Q47" s="63"/>
      <c r="R47" s="61"/>
      <c r="S47" s="8"/>
      <c r="T47" s="8"/>
      <c r="U47" s="8"/>
      <c r="V47" s="63"/>
      <c r="W47" s="63"/>
      <c r="X47" s="61"/>
      <c r="Y47" s="8"/>
    </row>
    <row r="48" spans="1:25" ht="18.75" customHeight="1" thickBot="1">
      <c r="A48" s="50" t="str">
        <f>IF(Fase_grups_ABS!AA310="1r",Fase_grups_ABS!N310,IF(Fase_grups_ABS!AA311="1r",Fase_grups_ABS!N311,IF(Fase_grups_ABS!AA312="1r",Fase_grups_ABS!N312,IF(Fase_grups_ABS!AA313="1r",Fase_grups_ABS!N313,"1r. Grup 19"))))</f>
        <v>Josep Monforte</v>
      </c>
      <c r="B48" s="45"/>
      <c r="C48" s="53">
        <v>3</v>
      </c>
      <c r="D48" s="49"/>
      <c r="F48" s="8"/>
      <c r="G48" s="112" t="str">
        <f>IF(Fase_grups_ABS!AA89="3r",Fase_grups_ABS!N89,IF(Fase_grups_ABS!AA90="3r",Fase_grups_ABS!N90,IF(Fase_grups_ABS!AA91="3r",Fase_grups_ABS!N91,IF(Fase_grups_ABS!AA92="3r",Fase_grups_ABS!N92,IF(Fase_grups_ABS!AA93="3r",Fase_grups_ABS!N93,"3r. Grup 5")))))</f>
        <v>David Arregui</v>
      </c>
      <c r="H48" s="114"/>
      <c r="I48" s="53">
        <v>2</v>
      </c>
      <c r="J48" s="111"/>
      <c r="K48" s="113"/>
      <c r="L48" s="8"/>
      <c r="M48" s="8"/>
      <c r="O48" s="8"/>
      <c r="P48" s="271" t="str">
        <f>IF(P52=M50,M54,M50)</f>
        <v>Ivan Fernandez</v>
      </c>
      <c r="Q48" s="271">
        <v>0.7465277777777778</v>
      </c>
      <c r="R48" s="60" t="s">
        <v>17</v>
      </c>
      <c r="S48" s="8" t="str">
        <f>IF(R44&gt;R52,P44,IF(R44&lt;R52,P52,""))</f>
        <v>Ricard Gomez</v>
      </c>
      <c r="T48" s="8"/>
      <c r="U48" s="51">
        <v>1</v>
      </c>
      <c r="V48" s="56"/>
      <c r="W48" s="63"/>
      <c r="X48" s="61"/>
      <c r="Y48" s="8"/>
    </row>
    <row r="49" spans="1:25" ht="18.75" customHeight="1" thickBot="1">
      <c r="A49" s="49"/>
      <c r="C49" s="8"/>
      <c r="D49" s="49" t="str">
        <f>IF(Fase_grups_ABS!AA242="1r",Fase_grups_ABS!N242,IF(Fase_grups_ABS!AA243="1r",Fase_grups_ABS!N243,IF(Fase_grups_ABS!AA244="1r",Fase_grups_ABS!N244,IF(Fase_grups_ABS!AA245="1r",Fase_grups_ABS!N245,"1r. Grup 14"))))</f>
        <v>Marc Sancho</v>
      </c>
      <c r="F49" s="51">
        <v>3</v>
      </c>
      <c r="G49" s="111"/>
      <c r="H49" s="113"/>
      <c r="I49" s="8"/>
      <c r="J49" s="111" t="str">
        <f>IF(Fase_grups_ABS!AA54="3r",Fase_grups_ABS!N54,IF(Fase_grups_ABS!AA55="3r",Fase_grups_ABS!N55,IF(Fase_grups_ABS!AA56="3r",Fase_grups_ABS!N56,IF(Fase_grups_ABS!AA57="3r",Fase_grups_ABS!N57,"3r. Grup 3"))))</f>
        <v>Ramon Macià</v>
      </c>
      <c r="K49" s="113"/>
      <c r="L49" s="51">
        <v>2</v>
      </c>
      <c r="M49" s="58"/>
      <c r="O49" s="8"/>
      <c r="P49" s="63"/>
      <c r="Q49" s="63"/>
      <c r="R49" s="61"/>
      <c r="S49" s="62"/>
      <c r="T49" s="62"/>
      <c r="U49" s="59"/>
      <c r="V49" s="63"/>
      <c r="W49" s="63"/>
      <c r="X49" s="61"/>
      <c r="Y49" s="8"/>
    </row>
    <row r="50" spans="1:25" ht="18.75" customHeight="1" thickBot="1">
      <c r="A50" s="49" t="str">
        <f>IF(Fase_grups_ABS!AA514="1r",Fase_grups_ABS!N514,IF(Fase_grups_ABS!AA515="1r",Fase_grups_ABS!N515,IF(Fase_grups_ABS!AA516="1r",Fase_grups_ABS!N516,IF(Fase_grups_ABS!AA517="1r",Fase_grups_ABS!N517,"1r. Grup 30"))))</f>
        <v>1r. Grup 30</v>
      </c>
      <c r="C50" s="51">
        <v>0</v>
      </c>
      <c r="D50" s="265" t="str">
        <f>G48</f>
        <v>David Arregui</v>
      </c>
      <c r="E50" s="266">
        <v>0.6666666666666666</v>
      </c>
      <c r="F50" s="80" t="s">
        <v>42</v>
      </c>
      <c r="G50" s="112" t="str">
        <f>IF(F49&gt;F51,D49,IF(F49&lt;F51,D51,""))</f>
        <v>Marc Sancho</v>
      </c>
      <c r="H50" s="113"/>
      <c r="I50" s="51">
        <v>3</v>
      </c>
      <c r="J50" s="265" t="str">
        <f>IF(J51=G50,G52,G50)</f>
        <v>Guillem Arbiol</v>
      </c>
      <c r="K50" s="266"/>
      <c r="L50" s="52" t="s">
        <v>45</v>
      </c>
      <c r="M50" s="8" t="str">
        <f>IF(L49&gt;L51,J49,IF(L49&lt;L51,J51,""))</f>
        <v>Marc Sancho</v>
      </c>
      <c r="O50" s="51">
        <v>3</v>
      </c>
      <c r="P50" s="56"/>
      <c r="Q50" s="63"/>
      <c r="R50" s="61"/>
      <c r="S50" s="63"/>
      <c r="T50" s="63"/>
      <c r="U50" s="61"/>
      <c r="V50" s="63"/>
      <c r="W50" s="63"/>
      <c r="X50" s="61"/>
      <c r="Y50" s="8"/>
    </row>
    <row r="51" spans="1:25" ht="18.75" customHeight="1" thickBot="1">
      <c r="A51" s="265" t="str">
        <f>D49</f>
        <v>Marc Sancho</v>
      </c>
      <c r="B51" s="266"/>
      <c r="C51" s="52"/>
      <c r="D51" s="50" t="str">
        <f>IF(C50&gt;C52,A50,IF(C50&lt;C52,A52,""))</f>
        <v>Miquel  Salat</v>
      </c>
      <c r="E51" s="45"/>
      <c r="F51" s="53">
        <v>0</v>
      </c>
      <c r="G51" s="265" t="str">
        <f>IF(D49=G50,D51,D49)</f>
        <v>Miquel  Salat</v>
      </c>
      <c r="H51" s="266"/>
      <c r="I51" s="80" t="s">
        <v>45</v>
      </c>
      <c r="J51" s="112" t="str">
        <f>IF(I50&gt;I52,G50,IF(I50&lt;I52,G52,""))</f>
        <v>Marc Sancho</v>
      </c>
      <c r="K51" s="114"/>
      <c r="L51" s="53">
        <v>3</v>
      </c>
      <c r="M51" s="54"/>
      <c r="N51" s="48"/>
      <c r="O51" s="59"/>
      <c r="P51" s="63"/>
      <c r="Q51" s="63"/>
      <c r="R51" s="61"/>
      <c r="S51" s="63"/>
      <c r="T51" s="63"/>
      <c r="U51" s="61"/>
      <c r="V51" s="63"/>
      <c r="W51" s="63"/>
      <c r="X51" s="61"/>
      <c r="Y51" s="8"/>
    </row>
    <row r="52" spans="1:25" ht="18.75" customHeight="1" thickBot="1">
      <c r="A52" s="50" t="str">
        <f>IF(Fase_grups_ABS!AA327="2n",Fase_grups_ABS!N327,IF(Fase_grups_ABS!AA328="2n",Fase_grups_ABS!N328,IF(Fase_grups_ABS!AA329="2n",Fase_grups_ABS!N329,IF(Fase_grups_ABS!AA330="2n",Fase_grups_ABS!N330,"2n. Grup 19"))))</f>
        <v>Miquel  Salat</v>
      </c>
      <c r="B52" s="45"/>
      <c r="C52" s="53">
        <v>3</v>
      </c>
      <c r="D52" s="49"/>
      <c r="F52" s="8"/>
      <c r="G52" s="112" t="str">
        <f>IF(Fase_grups_ABS!AA106="2n",Fase_grups_ABS!N106,IF(Fase_grups_ABS!AA107="2n",Fase_grups_ABS!N107,IF(Fase_grups_ABS!AA108="2n",Fase_grups_ABS!N108,IF(Fase_grups_ABS!AA109="2n",Fase_grups_ABS!N109,"2n. Grup 6"))))</f>
        <v>Guillem Arbiol</v>
      </c>
      <c r="H52" s="114"/>
      <c r="I52" s="53">
        <v>0</v>
      </c>
      <c r="J52" s="111"/>
      <c r="K52" s="113"/>
      <c r="L52" s="8"/>
      <c r="M52" s="271" t="str">
        <f>IF(M50=J49,J51,J49)</f>
        <v>Ramon Macià</v>
      </c>
      <c r="N52" s="271">
        <v>0.7152777777777778</v>
      </c>
      <c r="O52" s="60" t="s">
        <v>40</v>
      </c>
      <c r="P52" s="57" t="str">
        <f>IF(O50&gt;O54,M50,IF(O50&lt;O54,M54,""))</f>
        <v>Marc Sancho</v>
      </c>
      <c r="Q52" s="57"/>
      <c r="R52" s="53">
        <v>2</v>
      </c>
      <c r="S52" s="56"/>
      <c r="T52" s="63"/>
      <c r="U52" s="61"/>
      <c r="V52" s="63"/>
      <c r="W52" s="63"/>
      <c r="X52" s="61"/>
      <c r="Y52" s="8"/>
    </row>
    <row r="53" spans="1:25" ht="18.75" customHeight="1" thickBot="1">
      <c r="A53" s="49"/>
      <c r="C53" s="8"/>
      <c r="D53" s="49" t="str">
        <f>IF(Fase_grups_ABS!AA191="2n",Fase_grups_ABS!N191,IF(Fase_grups_ABS!AA192="2n",Fase_grups_ABS!N192,IF(Fase_grups_ABS!AA193="2n",Fase_grups_ABS!N193,IF(Fase_grups_ABS!AA194="2n",Fase_grups_ABS!N194,"2n. Grup 11"))))</f>
        <v>Victor Cayuela</v>
      </c>
      <c r="F53" s="51">
        <v>3</v>
      </c>
      <c r="G53" s="111"/>
      <c r="H53" s="113"/>
      <c r="I53" s="8"/>
      <c r="J53" s="111" t="str">
        <f>Fase_grups_ABS!N14</f>
        <v>Ivan Fernandez</v>
      </c>
      <c r="K53" s="113"/>
      <c r="L53" s="51">
        <v>3</v>
      </c>
      <c r="M53" s="56"/>
      <c r="N53" s="47"/>
      <c r="O53" s="61"/>
      <c r="P53" s="8"/>
      <c r="Q53" s="8"/>
      <c r="R53" s="8"/>
      <c r="S53" s="63"/>
      <c r="T53" s="63"/>
      <c r="U53" s="61"/>
      <c r="V53" s="63"/>
      <c r="W53" s="63"/>
      <c r="X53" s="61"/>
      <c r="Y53" s="8"/>
    </row>
    <row r="54" spans="1:25" ht="18.75" customHeight="1" thickBot="1">
      <c r="A54" s="49" t="str">
        <f>IF(Fase_grups_ABS!AA463="2n",Fase_grups_ABS!N463,IF(Fase_grups_ABS!AA464="2n",Fase_grups_ABS!N464,IF(Fase_grups_ABS!AA465="2n",Fase_grups_ABS!N465,IF(Fase_grups_ABS!AA466="2n",Fase_grups_ABS!N466,"2n. Grup 28"))))</f>
        <v>2n. Grup 28</v>
      </c>
      <c r="C54" s="51"/>
      <c r="D54" s="265" t="str">
        <f>G52</f>
        <v>Guillem Arbiol</v>
      </c>
      <c r="E54" s="266">
        <v>0.6666666666666666</v>
      </c>
      <c r="F54" s="80" t="s">
        <v>43</v>
      </c>
      <c r="G54" s="112" t="str">
        <f>IF(F53&gt;F55,D53,IF(F53&lt;F55,D55,""))</f>
        <v>Victor Cayuela</v>
      </c>
      <c r="H54" s="113"/>
      <c r="I54" s="51">
        <v>0</v>
      </c>
      <c r="J54" s="265" t="str">
        <f>IF(J55=G54,G56,G54)</f>
        <v>Victor Cayuela</v>
      </c>
      <c r="K54" s="266"/>
      <c r="L54" s="52" t="s">
        <v>46</v>
      </c>
      <c r="M54" s="57" t="str">
        <f>IF(L53&gt;L55,J53,IF(L53&lt;L55,J55,""))</f>
        <v>Ivan Fernandez</v>
      </c>
      <c r="N54" s="45"/>
      <c r="O54" s="53">
        <v>2</v>
      </c>
      <c r="P54" s="58"/>
      <c r="Q54" s="8"/>
      <c r="R54" s="8"/>
      <c r="S54" s="63"/>
      <c r="T54" s="63"/>
      <c r="U54" s="61"/>
      <c r="V54" s="63"/>
      <c r="W54" s="63"/>
      <c r="X54" s="61"/>
      <c r="Y54" s="8"/>
    </row>
    <row r="55" spans="1:25" ht="18.75" customHeight="1" thickBot="1">
      <c r="A55" s="265" t="str">
        <f>D53</f>
        <v>Victor Cayuela</v>
      </c>
      <c r="B55" s="266"/>
      <c r="C55" s="52"/>
      <c r="D55" s="50">
        <f>IF(C54&gt;C56,A54,IF(C54&lt;C56,A56,""))</f>
      </c>
      <c r="E55" s="45"/>
      <c r="F55" s="53">
        <v>0</v>
      </c>
      <c r="G55" s="265">
        <f>IF(D53=G54,D55,D53)</f>
      </c>
      <c r="H55" s="266"/>
      <c r="I55" s="80" t="s">
        <v>46</v>
      </c>
      <c r="J55" s="112" t="str">
        <f>IF(I54&gt;I56,G54,IF(I54&lt;I56,G56,""))</f>
        <v>Marc Molina</v>
      </c>
      <c r="K55" s="114"/>
      <c r="L55" s="53">
        <v>1</v>
      </c>
      <c r="M55" s="58"/>
      <c r="O55" s="8"/>
      <c r="P55" s="8"/>
      <c r="Q55" s="8"/>
      <c r="R55" s="8"/>
      <c r="S55" s="63"/>
      <c r="T55" s="63"/>
      <c r="U55" s="61"/>
      <c r="V55" s="63"/>
      <c r="W55" s="63"/>
      <c r="X55" s="61"/>
      <c r="Y55" s="8"/>
    </row>
    <row r="56" spans="1:25" ht="18.75" customHeight="1" thickBot="1">
      <c r="A56" s="50" t="str">
        <f>IF(Fase_grups_ABS!AA378="1r",Fase_grups_ABS!N378,IF(Fase_grups_ABS!AA379="1r",Fase_grups_ABS!N379,IF(Fase_grups_ABS!AA380="1r",Fase_grups_ABS!N380,IF(Fase_grups_ABS!AA381="1r",Fase_grups_ABS!N381,"1r. Grup 22"))))</f>
        <v>1r. Grup 22</v>
      </c>
      <c r="B56" s="45"/>
      <c r="C56" s="53"/>
      <c r="D56" s="49"/>
      <c r="F56" s="8"/>
      <c r="G56" s="112" t="str">
        <f>IF(Fase_grups_ABS!AA123="3r",Fase_grups_ABS!N123,IF(Fase_grups_ABS!AA124="3r",Fase_grups_ABS!N124,IF(Fase_grups_ABS!AA125="3r",Fase_grups_ABS!N125,IF(Fase_grups_ABS!AA126="3r",Fase_grups_ABS!N126,"3r. Grup 7"))))</f>
        <v>Marc Molina</v>
      </c>
      <c r="H56" s="114"/>
      <c r="I56" s="53">
        <v>3</v>
      </c>
      <c r="J56" s="111"/>
      <c r="K56" s="113"/>
      <c r="L56" s="8"/>
      <c r="M56" s="8"/>
      <c r="O56" s="8"/>
      <c r="P56" s="187" t="s">
        <v>263</v>
      </c>
      <c r="Q56" s="8"/>
      <c r="R56" s="8"/>
      <c r="S56" s="271" t="str">
        <f>IF(S48=P44,P52,P44)</f>
        <v>Marc Sancho</v>
      </c>
      <c r="T56" s="271">
        <v>0.7638888888888888</v>
      </c>
      <c r="U56" s="60" t="s">
        <v>16</v>
      </c>
      <c r="V56" s="57" t="str">
        <f>IF(U48&gt;U64,S48,IF(U48&lt;U64,S64,""))</f>
        <v>David González</v>
      </c>
      <c r="W56" s="57"/>
      <c r="X56" s="53">
        <v>3</v>
      </c>
      <c r="Y56" s="58"/>
    </row>
    <row r="57" spans="1:25" ht="18.75" customHeight="1" thickBot="1">
      <c r="A57" s="49"/>
      <c r="C57" s="8"/>
      <c r="D57" s="49" t="str">
        <f>IF(Fase_grups_ABS!AA208="1r",Fase_grups_ABS!N208,IF(Fase_grups_ABS!AA209="1r",Fase_grups_ABS!N209,IF(Fase_grups_ABS!AA210="1r",Fase_grups_ABS!N210,IF(Fase_grups_ABS!AA211="1r",Fase_grups_ABS!N211,"1r. Grup 12"))))</f>
        <v>Joel Roselló</v>
      </c>
      <c r="F57" s="51">
        <v>3</v>
      </c>
      <c r="G57" s="111"/>
      <c r="H57" s="113"/>
      <c r="I57" s="8"/>
      <c r="J57" s="111" t="str">
        <f>Fase_grups_ABS!N15</f>
        <v>Manel Martinez</v>
      </c>
      <c r="K57" s="113"/>
      <c r="L57" s="51">
        <v>3</v>
      </c>
      <c r="M57" s="58"/>
      <c r="O57" s="8"/>
      <c r="P57" s="8"/>
      <c r="Q57" s="8"/>
      <c r="R57" s="8"/>
      <c r="S57" s="63"/>
      <c r="T57" s="63"/>
      <c r="U57" s="61"/>
      <c r="V57" s="8" t="s">
        <v>264</v>
      </c>
      <c r="W57" s="8"/>
      <c r="X57" s="8"/>
      <c r="Y57" s="8"/>
    </row>
    <row r="58" spans="1:25" ht="18.75" customHeight="1" thickBot="1">
      <c r="A58" s="49" t="str">
        <f>IF(Fase_grups_ABS!AA480="1r",Fase_grups_ABS!N480,IF(Fase_grups_ABS!AA481="1r",Fase_grups_ABS!N481,IF(Fase_grups_ABS!AA482="1r",Fase_grups_ABS!N482,IF(Fase_grups_ABS!AA483="1r",Fase_grups_ABS!N483,"1r. Grup 28"))))</f>
        <v>1r. Grup 28</v>
      </c>
      <c r="C58" s="51">
        <v>0</v>
      </c>
      <c r="D58" s="265" t="str">
        <f>G56</f>
        <v>Marc Molina</v>
      </c>
      <c r="E58" s="266">
        <v>0.6666666666666666</v>
      </c>
      <c r="F58" s="80" t="s">
        <v>44</v>
      </c>
      <c r="G58" s="112" t="str">
        <f>IF(F57&gt;F59,D57,IF(F57&lt;F59,D59,""))</f>
        <v>Joel Roselló</v>
      </c>
      <c r="H58" s="113"/>
      <c r="I58" s="51">
        <v>2</v>
      </c>
      <c r="J58" s="265" t="str">
        <f>IF(J59=G58,G60,G58)</f>
        <v>Joel Roselló</v>
      </c>
      <c r="K58" s="266"/>
      <c r="L58" s="80" t="s">
        <v>47</v>
      </c>
      <c r="M58" s="57" t="str">
        <f>IF(L57&gt;L59,J57,IF(L57&lt;L59,J59,""))</f>
        <v>Manel Martinez</v>
      </c>
      <c r="O58" s="51">
        <v>3</v>
      </c>
      <c r="P58" s="58"/>
      <c r="Q58" s="8"/>
      <c r="R58" s="8"/>
      <c r="S58" s="63"/>
      <c r="T58" s="63"/>
      <c r="U58" s="61"/>
      <c r="V58" s="8"/>
      <c r="W58" s="8"/>
      <c r="X58" s="8"/>
      <c r="Y58" s="8"/>
    </row>
    <row r="59" spans="1:25" ht="18.75" customHeight="1" thickBot="1">
      <c r="A59" s="265" t="str">
        <f>D57</f>
        <v>Joel Roselló</v>
      </c>
      <c r="B59" s="266"/>
      <c r="C59" s="52"/>
      <c r="D59" s="50" t="str">
        <f>IF(C58&gt;C60,A58,IF(C58&lt;C60,A60,""))</f>
        <v>Albert Marquillas</v>
      </c>
      <c r="E59" s="45"/>
      <c r="F59" s="53">
        <v>1</v>
      </c>
      <c r="G59" s="265" t="str">
        <f>IF(D57=G58,D59,D57)</f>
        <v>Albert Marquillas</v>
      </c>
      <c r="H59" s="266"/>
      <c r="I59" s="80" t="s">
        <v>47</v>
      </c>
      <c r="J59" s="112" t="str">
        <f>IF(I58&gt;I60,G58,IF(I58&lt;I60,G60,""))</f>
        <v>Agustí Sanz</v>
      </c>
      <c r="K59" s="114"/>
      <c r="L59" s="53">
        <v>0</v>
      </c>
      <c r="M59" s="58"/>
      <c r="N59" s="48"/>
      <c r="O59" s="59"/>
      <c r="P59" s="8"/>
      <c r="Q59" s="8"/>
      <c r="R59" s="8"/>
      <c r="S59" s="63"/>
      <c r="T59" s="63"/>
      <c r="U59" s="61"/>
      <c r="V59" s="8"/>
      <c r="W59" s="8"/>
      <c r="X59" s="8"/>
      <c r="Y59" s="8"/>
    </row>
    <row r="60" spans="1:25" ht="18.75" customHeight="1" thickBot="1">
      <c r="A60" s="50" t="str">
        <f>IF(Fase_grups_ABS!AA361="2n",Fase_grups_ABS!N361,IF(Fase_grups_ABS!AA362="2n",Fase_grups_ABS!N362,IF(Fase_grups_ABS!AA363="2n",Fase_grups_ABS!N363,IF(Fase_grups_ABS!AA364="2n",Fase_grups_ABS!N364,"2n. Grup 21"))))</f>
        <v>Albert Marquillas</v>
      </c>
      <c r="B60" s="45"/>
      <c r="C60" s="53">
        <v>3</v>
      </c>
      <c r="D60" s="49"/>
      <c r="F60" s="8"/>
      <c r="G60" s="112" t="str">
        <f>IF(Fase_grups_ABS!AA123="1r",Fase_grups_ABS!N123,IF(Fase_grups_ABS!AA124="1r",Fase_grups_ABS!N124,IF(Fase_grups_ABS!AA125="1r",Fase_grups_ABS!N125,IF(Fase_grups_ABS!AA126="1r",Fase_grups_ABS!N126,"1r. Grup 7"))))</f>
        <v>Agustí Sanz</v>
      </c>
      <c r="H60" s="114"/>
      <c r="I60" s="53">
        <v>3</v>
      </c>
      <c r="J60" s="111"/>
      <c r="K60" s="113"/>
      <c r="L60" s="8"/>
      <c r="M60" s="271" t="str">
        <f>IF(M58=J57,J59,J57)</f>
        <v>Agustí Sanz</v>
      </c>
      <c r="N60" s="271">
        <v>0.7152777777777778</v>
      </c>
      <c r="O60" s="60" t="s">
        <v>41</v>
      </c>
      <c r="P60" s="57" t="str">
        <f>IF(O58&gt;O62,M58,IF(O58&lt;O62,M62,""))</f>
        <v>Manel Martinez</v>
      </c>
      <c r="Q60" s="8"/>
      <c r="R60" s="51">
        <v>0</v>
      </c>
      <c r="S60" s="56"/>
      <c r="T60" s="63"/>
      <c r="U60" s="61"/>
      <c r="V60" s="8"/>
      <c r="W60" s="8"/>
      <c r="X60" s="8"/>
      <c r="Y60" s="8"/>
    </row>
    <row r="61" spans="1:25" ht="18.75" customHeight="1" thickBot="1">
      <c r="A61" s="49"/>
      <c r="C61" s="8"/>
      <c r="D61" s="49" t="str">
        <f>IF(Fase_grups_ABS!AA225="2n",Fase_grups_ABS!N225,IF(Fase_grups_ABS!AA226="2n",Fase_grups_ABS!N226,IF(Fase_grups_ABS!AA227="2n",Fase_grups_ABS!N227,IF(Fase_grups_ABS!AA228="2n",Fase_grups_ABS!N228,"2n. Grup 13"))))</f>
        <v>Jordi Rodriguez</v>
      </c>
      <c r="F61" s="51">
        <v>3</v>
      </c>
      <c r="G61" s="111"/>
      <c r="H61" s="113"/>
      <c r="I61" s="8"/>
      <c r="J61" s="111" t="str">
        <f>IF(Fase_grups_ABS!AA54="1r",Fase_grups_ABS!N54,IF(Fase_grups_ABS!AA55="1r",Fase_grups_ABS!N55,IF(Fase_grups_ABS!AA56="1r",Fase_grups_ABS!N56,IF(Fase_grups_ABS!AA57="1r",Fase_grups_ABS!N57,"1r. Grup 3"))))</f>
        <v>Carles Margalida</v>
      </c>
      <c r="K61" s="113"/>
      <c r="L61" s="51">
        <v>3</v>
      </c>
      <c r="M61" s="56"/>
      <c r="N61" s="47"/>
      <c r="O61" s="61"/>
      <c r="P61" s="62"/>
      <c r="Q61" s="62"/>
      <c r="R61" s="59"/>
      <c r="S61" s="63"/>
      <c r="T61" s="63"/>
      <c r="U61" s="61"/>
      <c r="V61" s="8"/>
      <c r="W61" s="8"/>
      <c r="X61" s="8"/>
      <c r="Y61" s="8"/>
    </row>
    <row r="62" spans="1:25" ht="18.75" customHeight="1" thickBot="1">
      <c r="A62" s="49" t="str">
        <f>IF(Fase_grups_ABS!AA497="2n",Fase_grups_ABS!N497,IF(Fase_grups_ABS!AA498="2n",Fase_grups_ABS!N498,IF(Fase_grups_ABS!AA499="2n",Fase_grups_ABS!N499,IF(Fase_grups_ABS!AA500="2n",Fase_grups_ABS!N500,"2n. Grup 29"))))</f>
        <v>2n. Grup 29</v>
      </c>
      <c r="C62" s="51">
        <v>0</v>
      </c>
      <c r="D62" s="265" t="str">
        <f>G60</f>
        <v>Agustí Sanz</v>
      </c>
      <c r="E62" s="266">
        <v>0.6666666666666666</v>
      </c>
      <c r="F62" s="80" t="s">
        <v>45</v>
      </c>
      <c r="G62" s="112" t="str">
        <f>IF(F61&gt;F63,D61,IF(F61&lt;F63,D63,""))</f>
        <v>Jordi Rodriguez</v>
      </c>
      <c r="H62" s="113"/>
      <c r="I62" s="51">
        <v>3</v>
      </c>
      <c r="J62" s="265" t="str">
        <f>IF(J63=G62,G64,G62)</f>
        <v>Roger Rubió</v>
      </c>
      <c r="K62" s="266"/>
      <c r="L62" s="80" t="s">
        <v>48</v>
      </c>
      <c r="M62" s="57" t="str">
        <f>IF(L61&gt;L63,J61,IF(L61&lt;L63,J63,""))</f>
        <v>Carles Margalida</v>
      </c>
      <c r="N62" s="45"/>
      <c r="O62" s="53">
        <v>1</v>
      </c>
      <c r="P62" s="56"/>
      <c r="Q62" s="63"/>
      <c r="R62" s="61"/>
      <c r="S62" s="63"/>
      <c r="T62" s="63"/>
      <c r="U62" s="61"/>
      <c r="V62" s="8"/>
      <c r="W62" s="8"/>
      <c r="X62" s="8"/>
      <c r="Y62" s="8"/>
    </row>
    <row r="63" spans="1:25" ht="18.75" customHeight="1" thickBot="1">
      <c r="A63" s="265" t="str">
        <f>D61</f>
        <v>Jordi Rodriguez</v>
      </c>
      <c r="B63" s="266"/>
      <c r="C63" s="52"/>
      <c r="D63" s="50" t="str">
        <f>IF(C62&gt;C64,A62,IF(C62&lt;C64,A64,""))</f>
        <v>Salvador Berenguer</v>
      </c>
      <c r="E63" s="45"/>
      <c r="F63" s="53">
        <v>1</v>
      </c>
      <c r="G63" s="265" t="str">
        <f>IF(D61=G62,D63,D61)</f>
        <v>Salvador Berenguer</v>
      </c>
      <c r="H63" s="266"/>
      <c r="I63" s="80" t="s">
        <v>48</v>
      </c>
      <c r="J63" s="112" t="str">
        <f>IF(I62&gt;I64,G62,IF(I62&lt;I64,G64,""))</f>
        <v>Jordi Rodriguez</v>
      </c>
      <c r="K63" s="114"/>
      <c r="L63" s="53">
        <v>0</v>
      </c>
      <c r="M63" s="58"/>
      <c r="O63" s="8"/>
      <c r="P63" s="63"/>
      <c r="Q63" s="63"/>
      <c r="R63" s="61"/>
      <c r="S63" s="63"/>
      <c r="T63" s="63"/>
      <c r="U63" s="61"/>
      <c r="V63" s="8"/>
      <c r="W63" s="8"/>
      <c r="X63" s="8"/>
      <c r="Y63" s="8"/>
    </row>
    <row r="64" spans="1:25" ht="18.75" customHeight="1" thickBot="1">
      <c r="A64" s="50" t="str">
        <f>IF(Fase_grups_ABS!AA344="1r",Fase_grups_ABS!N344,IF(Fase_grups_ABS!AA345="1r",Fase_grups_ABS!N345,IF(Fase_grups_ABS!AA346="1r",Fase_grups_ABS!N346,IF(Fase_grups_ABS!AA347="1r",Fase_grups_ABS!N347,"1r. Grup 20"))))</f>
        <v>Salvador Berenguer</v>
      </c>
      <c r="B64" s="45"/>
      <c r="C64" s="53">
        <v>3</v>
      </c>
      <c r="D64" s="49"/>
      <c r="F64" s="8"/>
      <c r="G64" s="112" t="str">
        <f>IF(Fase_grups_ABS!AA106="3r",Fase_grups_ABS!N106,IF(Fase_grups_ABS!AA107="3r",Fase_grups_ABS!N107,IF(Fase_grups_ABS!AA108="3r",Fase_grups_ABS!N108,IF(Fase_grups_ABS!AA109="3r",Fase_grups_ABS!N109,"3r. Grup 6"))))</f>
        <v>Roger Rubió</v>
      </c>
      <c r="H64" s="114"/>
      <c r="I64" s="53">
        <v>0</v>
      </c>
      <c r="J64" s="111"/>
      <c r="K64" s="113"/>
      <c r="L64" s="8"/>
      <c r="M64" s="8"/>
      <c r="O64" s="8"/>
      <c r="P64" s="271" t="str">
        <f>IF(P68=M66,M70,M66)</f>
        <v>David Subirà</v>
      </c>
      <c r="Q64" s="271">
        <v>0.7465277777777778</v>
      </c>
      <c r="R64" s="60" t="s">
        <v>18</v>
      </c>
      <c r="S64" s="57" t="str">
        <f>IF(R60&gt;R68,P60,IF(R60&lt;R68,P68,""))</f>
        <v>David González</v>
      </c>
      <c r="T64" s="57"/>
      <c r="U64" s="53">
        <v>3</v>
      </c>
      <c r="V64" s="58"/>
      <c r="W64" s="8"/>
      <c r="X64" s="8"/>
      <c r="Y64" s="8"/>
    </row>
    <row r="65" spans="1:25" ht="18.75" customHeight="1" thickBot="1">
      <c r="A65" s="49"/>
      <c r="C65" s="8"/>
      <c r="D65" s="49" t="str">
        <f>IF(Fase_grups_ABS!AA276="1r",Fase_grups_ABS!N276,IF(Fase_grups_ABS!AA277="1r",Fase_grups_ABS!N277,IF(Fase_grups_ABS!AA278="1r",Fase_grups_ABS!N278,IF(Fase_grups_ABS!AA279="1r",Fase_grups_ABS!N279,"1r. Grup 16"))))</f>
        <v>Sebastian Lech</v>
      </c>
      <c r="F65" s="51">
        <v>3</v>
      </c>
      <c r="G65" s="111"/>
      <c r="H65" s="113"/>
      <c r="I65" s="8"/>
      <c r="J65" s="111" t="str">
        <f>IF(Fase_grups_ABS!AA71="3r",Fase_grups_ABS!N71,IF(Fase_grups_ABS!AA72="3r",Fase_grups_ABS!N72,IF(Fase_grups_ABS!AA73="3r",Fase_grups_ABS!N73,IF(Fase_grups_ABS!AA74="3r",Fase_grups_ABS!N74,IF(Fase_grups_ABS!AA75="3r",Fase_grups_ABS!N75,"3r. Grup 4")))))</f>
        <v>David Subirà</v>
      </c>
      <c r="K65" s="113"/>
      <c r="L65" s="51">
        <v>3</v>
      </c>
      <c r="M65" s="58"/>
      <c r="O65" s="8"/>
      <c r="P65" s="63"/>
      <c r="Q65" s="63"/>
      <c r="R65" s="61"/>
      <c r="S65" s="8"/>
      <c r="T65" s="8"/>
      <c r="U65" s="8"/>
      <c r="V65" s="8"/>
      <c r="W65" s="8"/>
      <c r="X65" s="8"/>
      <c r="Y65" s="8"/>
    </row>
    <row r="66" spans="1:25" ht="18.75" customHeight="1" thickBot="1">
      <c r="A66" s="49" t="str">
        <f>IF(Fase_grups_ABS!AA548="1r",Fase_grups_ABS!N548,IF(Fase_grups_ABS!AA549="1r",Fase_grups_ABS!N549,IF(Fase_grups_ABS!AA550="1r",Fase_grups_ABS!N550,IF(Fase_grups_ABS!AA551="1r",Fase_grups_ABS!N551,"1r. Grup 32"))))</f>
        <v>1r. Grup 32</v>
      </c>
      <c r="C66" s="51">
        <v>0</v>
      </c>
      <c r="D66" s="265" t="str">
        <f>G64</f>
        <v>Roger Rubió</v>
      </c>
      <c r="E66" s="266">
        <v>0.6666666666666666</v>
      </c>
      <c r="F66" s="80" t="s">
        <v>46</v>
      </c>
      <c r="G66" s="112" t="str">
        <f>IF(F65&gt;F67,D65,IF(F65&lt;F67,D67,""))</f>
        <v>Sebastian Lech</v>
      </c>
      <c r="H66" s="113"/>
      <c r="I66" s="51">
        <v>1</v>
      </c>
      <c r="J66" s="265" t="str">
        <f>IF(J67=G66,G68,G66)</f>
        <v>Sebastian Lech</v>
      </c>
      <c r="K66" s="266"/>
      <c r="L66" s="80" t="s">
        <v>62</v>
      </c>
      <c r="M66" s="8" t="str">
        <f>IF(L65&gt;L67,J65,IF(L65&lt;L67,J67,""))</f>
        <v>David Subirà</v>
      </c>
      <c r="O66" s="51">
        <v>0</v>
      </c>
      <c r="P66" s="56"/>
      <c r="Q66" s="63"/>
      <c r="R66" s="61"/>
      <c r="S66" s="8"/>
      <c r="T66" s="8"/>
      <c r="U66" s="8"/>
      <c r="V66" s="8"/>
      <c r="W66" s="8"/>
      <c r="X66" s="8"/>
      <c r="Y66" s="8"/>
    </row>
    <row r="67" spans="1:25" ht="18.75" customHeight="1" thickBot="1">
      <c r="A67" s="265" t="str">
        <f>D65</f>
        <v>Sebastian Lech</v>
      </c>
      <c r="B67" s="266"/>
      <c r="C67" s="52"/>
      <c r="D67" s="50" t="str">
        <f>IF(C66&gt;C68,A66,IF(C66&lt;C68,A68,""))</f>
        <v>Joel Parramon</v>
      </c>
      <c r="E67" s="45"/>
      <c r="F67" s="53">
        <v>0</v>
      </c>
      <c r="G67" s="265" t="str">
        <f>IF(D65=G66,D67,D65)</f>
        <v>Joel Parramon</v>
      </c>
      <c r="H67" s="266"/>
      <c r="I67" s="80" t="s">
        <v>62</v>
      </c>
      <c r="J67" s="112" t="str">
        <f>IF(I66&gt;I68,G66,IF(I66&lt;I68,G68,""))</f>
        <v>Francesc Solans</v>
      </c>
      <c r="K67" s="114"/>
      <c r="L67" s="53">
        <v>0</v>
      </c>
      <c r="M67" s="54"/>
      <c r="N67" s="48"/>
      <c r="O67" s="59"/>
      <c r="P67" s="63"/>
      <c r="Q67" s="63"/>
      <c r="R67" s="61"/>
      <c r="S67" s="8"/>
      <c r="T67" s="8"/>
      <c r="U67" s="8"/>
      <c r="V67" s="8"/>
      <c r="W67" s="8"/>
      <c r="X67" s="8"/>
      <c r="Y67" s="8"/>
    </row>
    <row r="68" spans="1:25" ht="18.75" customHeight="1" thickBot="1">
      <c r="A68" s="50" t="str">
        <f>IF(Fase_grups_ABS!AA293="2n",Fase_grups_ABS!N293,IF(Fase_grups_ABS!AA294="2n",Fase_grups_ABS!N294,IF(Fase_grups_ABS!AA295="2n",Fase_grups_ABS!N295,IF(Fase_grups_ABS!AA296="2n",Fase_grups_ABS!N296,"2n. Grup 17"))))</f>
        <v>Joel Parramon</v>
      </c>
      <c r="B68" s="45"/>
      <c r="C68" s="53">
        <v>3</v>
      </c>
      <c r="D68" s="49"/>
      <c r="F68" s="8"/>
      <c r="G68" s="112" t="str">
        <f>IF(Fase_grups_ABS!AA89="2n",Fase_grups_ABS!N89,IF(Fase_grups_ABS!AA90="2n",Fase_grups_ABS!N90,IF(Fase_grups_ABS!AA91="2n",Fase_grups_ABS!N91,IF(Fase_grups_ABS!AA92="2n",Fase_grups_ABS!N92,IF(Fase_grups_ABS!AA93="2n",Fase_grups_ABS!N93,"2n. Grup 5")))))</f>
        <v>Francesc Solans</v>
      </c>
      <c r="H68" s="114"/>
      <c r="I68" s="53">
        <v>3</v>
      </c>
      <c r="J68" s="111"/>
      <c r="K68" s="113"/>
      <c r="L68" s="8"/>
      <c r="M68" s="271" t="str">
        <f>IF(M66=J65,J67,J65)</f>
        <v>Francesc Solans</v>
      </c>
      <c r="N68" s="271">
        <v>0.7152777777777778</v>
      </c>
      <c r="O68" s="60" t="s">
        <v>42</v>
      </c>
      <c r="P68" s="57" t="str">
        <f>IF(O66&gt;O70,M66,IF(O66&lt;O70,M70,""))</f>
        <v>David González</v>
      </c>
      <c r="Q68" s="57"/>
      <c r="R68" s="53">
        <v>3</v>
      </c>
      <c r="S68" s="58"/>
      <c r="T68" s="8"/>
      <c r="U68" s="8"/>
      <c r="V68" s="8"/>
      <c r="W68" s="8"/>
      <c r="X68" s="8"/>
      <c r="Y68" s="8"/>
    </row>
    <row r="69" spans="1:25" ht="18.75" customHeight="1" thickBot="1">
      <c r="A69" s="49"/>
      <c r="C69" s="8"/>
      <c r="D69" s="49" t="str">
        <f>IF(Fase_grups_ABS!AA157="2n",Fase_grups_ABS!N157,IF(Fase_grups_ABS!AA158="2n",Fase_grups_ABS!N158,IF(Fase_grups_ABS!AA159="2n",Fase_grups_ABS!N159,IF(Fase_grups_ABS!AA160="2n",Fase_grups_ABS!N160,"2n. Grup 9"))))</f>
        <v>Joan Palau</v>
      </c>
      <c r="F69" s="51">
        <v>3</v>
      </c>
      <c r="G69" s="111"/>
      <c r="H69" s="113"/>
      <c r="I69" s="8"/>
      <c r="J69" s="111" t="str">
        <f>IF(Fase_grups_ABS!AA20="2n",Fase_grups_ABS!N20,IF(Fase_grups_ABS!AA21="2n",Fase_grups_ABS!N21,IF(Fase_grups_ABS!AA22="2n",Fase_grups_ABS!N22,IF(Fase_grups_ABS!AA23="2n",Fase_grups_ABS!N23,IF(Fase_grups_ABS!AA24="2n",Fase_grups_ABS!N24,"2n. Grup 1")))))</f>
        <v>David González</v>
      </c>
      <c r="K69" s="113"/>
      <c r="L69" s="51">
        <v>3</v>
      </c>
      <c r="M69" s="56"/>
      <c r="N69" s="47"/>
      <c r="O69" s="61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 ht="18.75" customHeight="1" thickBot="1">
      <c r="A70" s="49" t="str">
        <f>IF(Fase_grups_ABS!AA429="2n",Fase_grups_ABS!N429,IF(Fase_grups_ABS!AA430="2n",Fase_grups_ABS!N430,IF(Fase_grups_ABS!AA431="2n",Fase_grups_ABS!N431,IF(Fase_grups_ABS!AA432="2n",Fase_grups_ABS!N432,"2n. Grup 25"))))</f>
        <v>2n. Grup 25</v>
      </c>
      <c r="C70" s="51"/>
      <c r="D70" s="265" t="str">
        <f>IF(D71=A70,A72,A70)</f>
        <v>2n. Grup 25</v>
      </c>
      <c r="E70" s="266"/>
      <c r="F70" s="52"/>
      <c r="G70" s="112" t="str">
        <f>IF(F69&gt;F71,D69,IF(F69&lt;F71,D71,""))</f>
        <v>Joan Palau</v>
      </c>
      <c r="H70" s="113"/>
      <c r="I70" s="51">
        <v>3</v>
      </c>
      <c r="J70" s="265" t="str">
        <f>IF(J71=G70,G72,G70)</f>
        <v>Guillem Almacellas</v>
      </c>
      <c r="K70" s="266"/>
      <c r="L70" s="80" t="s">
        <v>63</v>
      </c>
      <c r="M70" s="57" t="str">
        <f>IF(L69&gt;L71,J69,IF(L69&lt;L71,J71,""))</f>
        <v>David González</v>
      </c>
      <c r="N70" s="45"/>
      <c r="O70" s="53">
        <v>3</v>
      </c>
      <c r="P70" s="58"/>
      <c r="Q70" s="8"/>
      <c r="R70" s="8"/>
      <c r="S70" s="8"/>
      <c r="T70" s="8"/>
      <c r="U70" s="8"/>
      <c r="V70" s="8"/>
      <c r="W70" s="8"/>
      <c r="X70" s="8"/>
      <c r="Y70" s="8"/>
    </row>
    <row r="71" spans="1:25" ht="18.75" customHeight="1" thickBot="1">
      <c r="A71" s="265" t="str">
        <f>D69</f>
        <v>Joan Palau</v>
      </c>
      <c r="B71" s="266"/>
      <c r="C71" s="52"/>
      <c r="D71" s="50">
        <f>IF(C70&gt;C72,A70,IF(C70&lt;C72,A72,""))</f>
      </c>
      <c r="E71" s="45"/>
      <c r="F71" s="53">
        <v>0</v>
      </c>
      <c r="G71" s="265">
        <f>IF(D69=G70,D71,D69)</f>
      </c>
      <c r="H71" s="266"/>
      <c r="I71" s="80" t="s">
        <v>63</v>
      </c>
      <c r="J71" s="112" t="str">
        <f>IF(I70&gt;I72,G70,IF(I70&lt;I72,G72,""))</f>
        <v>Joan Palau</v>
      </c>
      <c r="K71" s="114"/>
      <c r="L71" s="53">
        <v>0</v>
      </c>
      <c r="M71" s="5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25" ht="18.75" customHeight="1" thickBot="1">
      <c r="A72" s="50" t="str">
        <f>IF(Fase_grups_ABS!AA412="1r",Fase_grups_ABS!N412,IF(Fase_grups_ABS!AA413="1r",Fase_grups_ABS!N413,IF(Fase_grups_ABS!AA414="1r",Fase_grups_ABS!N414,IF(Fase_grups_ABS!AA415="1r",Fase_grups_ABS!N415,"1r. Grup 24"))))</f>
        <v>1r. Grup 24</v>
      </c>
      <c r="B72" s="45"/>
      <c r="C72" s="53"/>
      <c r="G72" s="112" t="str">
        <f>IF(Fase_grups_ABS!AA140="3r",Fase_grups_ABS!N140,IF(Fase_grups_ABS!AA141="3r",Fase_grups_ABS!N141,IF(Fase_grups_ABS!AA142="3r",Fase_grups_ABS!N142,IF(Fase_grups_ABS!AA143="3r",Fase_grups_ABS!N143,IF(Fase_grups_ABS!AA144="3r",Fase_grups_ABS!N144,"3r. Grup 8")))))</f>
        <v>Guillem Almacellas</v>
      </c>
      <c r="H72" s="114"/>
      <c r="I72" s="53">
        <v>1</v>
      </c>
      <c r="J72" s="115"/>
      <c r="K72" s="115"/>
      <c r="M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0:25" ht="12.75">
      <c r="J73" s="115"/>
      <c r="K73" s="115"/>
      <c r="M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3:25" ht="12.75">
      <c r="M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6:25" ht="12.75"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6:25" ht="12.75">
      <c r="P76" s="8"/>
      <c r="Q76" s="8"/>
      <c r="R76" s="8"/>
      <c r="S76" s="8"/>
      <c r="T76" s="8"/>
      <c r="U76" s="8"/>
      <c r="V76" s="8"/>
      <c r="W76" s="8"/>
      <c r="X76" s="8"/>
      <c r="Y76" s="8"/>
    </row>
  </sheetData>
  <sheetProtection/>
  <mergeCells count="82">
    <mergeCell ref="A59:B59"/>
    <mergeCell ref="A63:B63"/>
    <mergeCell ref="A67:B67"/>
    <mergeCell ref="A71:B71"/>
    <mergeCell ref="A35:B35"/>
    <mergeCell ref="A39:B39"/>
    <mergeCell ref="A43:B43"/>
    <mergeCell ref="A47:B47"/>
    <mergeCell ref="A51:B51"/>
    <mergeCell ref="A55:B55"/>
    <mergeCell ref="A11:B11"/>
    <mergeCell ref="A15:B15"/>
    <mergeCell ref="A19:B19"/>
    <mergeCell ref="A23:B23"/>
    <mergeCell ref="A27:B27"/>
    <mergeCell ref="A31:B31"/>
    <mergeCell ref="D66:E66"/>
    <mergeCell ref="D70:E70"/>
    <mergeCell ref="D10:E10"/>
    <mergeCell ref="D42:E42"/>
    <mergeCell ref="D46:E46"/>
    <mergeCell ref="D50:E50"/>
    <mergeCell ref="D54:E54"/>
    <mergeCell ref="D58:E58"/>
    <mergeCell ref="D62:E62"/>
    <mergeCell ref="D18:E18"/>
    <mergeCell ref="D38:E38"/>
    <mergeCell ref="P16:Q16"/>
    <mergeCell ref="P32:Q32"/>
    <mergeCell ref="J34:K34"/>
    <mergeCell ref="J38:K38"/>
    <mergeCell ref="G19:H19"/>
    <mergeCell ref="J22:K22"/>
    <mergeCell ref="P48:Q48"/>
    <mergeCell ref="P64:Q64"/>
    <mergeCell ref="S24:T24"/>
    <mergeCell ref="S56:T56"/>
    <mergeCell ref="J66:K66"/>
    <mergeCell ref="J70:K70"/>
    <mergeCell ref="M60:N60"/>
    <mergeCell ref="M68:N68"/>
    <mergeCell ref="J42:K42"/>
    <mergeCell ref="J46:K46"/>
    <mergeCell ref="G67:H67"/>
    <mergeCell ref="G71:H71"/>
    <mergeCell ref="M12:N12"/>
    <mergeCell ref="M20:N20"/>
    <mergeCell ref="M28:N28"/>
    <mergeCell ref="M36:N36"/>
    <mergeCell ref="M44:N44"/>
    <mergeCell ref="M52:N52"/>
    <mergeCell ref="J26:K26"/>
    <mergeCell ref="J30:K30"/>
    <mergeCell ref="J50:K50"/>
    <mergeCell ref="J54:K54"/>
    <mergeCell ref="J58:K58"/>
    <mergeCell ref="J62:K62"/>
    <mergeCell ref="G43:H43"/>
    <mergeCell ref="G47:H47"/>
    <mergeCell ref="G51:H51"/>
    <mergeCell ref="G55:H55"/>
    <mergeCell ref="G59:H59"/>
    <mergeCell ref="G63:H63"/>
    <mergeCell ref="G39:H39"/>
    <mergeCell ref="B3:Z3"/>
    <mergeCell ref="C5:Y5"/>
    <mergeCell ref="A7:C7"/>
    <mergeCell ref="D7:F7"/>
    <mergeCell ref="G11:H11"/>
    <mergeCell ref="J14:K14"/>
    <mergeCell ref="J10:K10"/>
    <mergeCell ref="J18:K18"/>
    <mergeCell ref="G15:H15"/>
    <mergeCell ref="D14:E14"/>
    <mergeCell ref="G23:H23"/>
    <mergeCell ref="G27:H27"/>
    <mergeCell ref="G31:H31"/>
    <mergeCell ref="G35:H35"/>
    <mergeCell ref="D22:E22"/>
    <mergeCell ref="D26:E26"/>
    <mergeCell ref="D30:E30"/>
    <mergeCell ref="D34:E34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60" verticalDpi="36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55"/>
  <sheetViews>
    <sheetView zoomScale="130" zoomScaleNormal="130" zoomScalePageLayoutView="0" workbookViewId="0" topLeftCell="A1">
      <selection activeCell="A1" sqref="A1:P55"/>
    </sheetView>
  </sheetViews>
  <sheetFormatPr defaultColWidth="11.421875" defaultRowHeight="16.5" customHeight="1"/>
  <cols>
    <col min="1" max="1" width="25.140625" style="120" customWidth="1"/>
    <col min="2" max="6" width="5.140625" style="120" customWidth="1"/>
    <col min="7" max="7" width="11.421875" style="116" customWidth="1"/>
    <col min="8" max="8" width="11.421875" style="120" customWidth="1"/>
    <col min="9" max="9" width="1.421875" style="120" customWidth="1"/>
    <col min="10" max="10" width="25.28125" style="123" customWidth="1"/>
    <col min="11" max="15" width="5.140625" style="120" customWidth="1"/>
    <col min="16" max="16" width="11.421875" style="116" customWidth="1"/>
    <col min="17" max="16384" width="11.421875" style="120" customWidth="1"/>
  </cols>
  <sheetData>
    <row r="1" ht="16.5" customHeight="1" thickBot="1"/>
    <row r="2" spans="1:16" ht="16.5" customHeight="1" thickBot="1">
      <c r="A2" s="274" t="s">
        <v>66</v>
      </c>
      <c r="B2" s="274"/>
      <c r="C2" s="274"/>
      <c r="E2" s="120" t="s">
        <v>14</v>
      </c>
      <c r="G2" s="117"/>
      <c r="J2" s="274" t="s">
        <v>66</v>
      </c>
      <c r="K2" s="274"/>
      <c r="L2" s="274"/>
      <c r="N2" s="120" t="s">
        <v>14</v>
      </c>
      <c r="P2" s="117"/>
    </row>
    <row r="3" spans="7:16" ht="16.5" customHeight="1" thickBot="1">
      <c r="G3" s="116" t="s">
        <v>65</v>
      </c>
      <c r="P3" s="116" t="s">
        <v>65</v>
      </c>
    </row>
    <row r="4" spans="1:16" ht="16.5" customHeight="1">
      <c r="A4" s="120" t="str">
        <f>'Fase Final Absolut'!A10</f>
        <v>1r. Grup 25</v>
      </c>
      <c r="B4" s="121"/>
      <c r="C4" s="121"/>
      <c r="D4" s="121"/>
      <c r="E4" s="121"/>
      <c r="F4" s="122"/>
      <c r="G4" s="118"/>
      <c r="J4" s="123" t="str">
        <f>'Fase Final Absolut'!A42</f>
        <v>1r. Grup 26</v>
      </c>
      <c r="K4" s="121"/>
      <c r="L4" s="121"/>
      <c r="M4" s="121"/>
      <c r="N4" s="121"/>
      <c r="O4" s="122"/>
      <c r="P4" s="118"/>
    </row>
    <row r="5" spans="1:16" ht="16.5" customHeight="1" thickBot="1">
      <c r="A5" s="120" t="str">
        <f>'Fase Final Absolut'!A12</f>
        <v>2n. Grup 24</v>
      </c>
      <c r="B5" s="121"/>
      <c r="C5" s="121"/>
      <c r="D5" s="121"/>
      <c r="E5" s="121"/>
      <c r="F5" s="122"/>
      <c r="G5" s="119"/>
      <c r="J5" s="123" t="str">
        <f>'Fase Final Absolut'!A44</f>
        <v>2n. Grup 23</v>
      </c>
      <c r="K5" s="121"/>
      <c r="L5" s="121"/>
      <c r="M5" s="121"/>
      <c r="N5" s="121"/>
      <c r="O5" s="122"/>
      <c r="P5" s="119"/>
    </row>
    <row r="6" spans="1:16" ht="16.5" customHeight="1">
      <c r="A6" s="192" t="s">
        <v>265</v>
      </c>
      <c r="B6" s="272" t="str">
        <f>'Fase Final Absolut'!A11</f>
        <v>Arnau Ferre</v>
      </c>
      <c r="C6" s="273"/>
      <c r="D6" s="273"/>
      <c r="E6" s="273"/>
      <c r="F6" s="273"/>
      <c r="G6" s="188"/>
      <c r="J6" s="192" t="s">
        <v>265</v>
      </c>
      <c r="K6" s="272" t="str">
        <f>'Fase Final Absolut'!A43</f>
        <v>Pol Patau</v>
      </c>
      <c r="L6" s="273"/>
      <c r="M6" s="273"/>
      <c r="N6" s="273"/>
      <c r="O6" s="273"/>
      <c r="P6" s="188"/>
    </row>
    <row r="7" ht="7.5" customHeight="1"/>
    <row r="8" spans="1:17" ht="7.5" customHeight="1" thickBot="1">
      <c r="A8" s="124"/>
      <c r="B8" s="124"/>
      <c r="C8" s="124"/>
      <c r="D8" s="124"/>
      <c r="E8" s="124"/>
      <c r="F8" s="124"/>
      <c r="G8" s="125"/>
      <c r="H8" s="124"/>
      <c r="I8" s="124"/>
      <c r="J8" s="126"/>
      <c r="K8" s="124"/>
      <c r="L8" s="124"/>
      <c r="M8" s="124"/>
      <c r="N8" s="124"/>
      <c r="O8" s="124"/>
      <c r="P8" s="125"/>
      <c r="Q8" s="124"/>
    </row>
    <row r="9" spans="1:16" ht="16.5" customHeight="1" thickBot="1">
      <c r="A9" s="274" t="s">
        <v>66</v>
      </c>
      <c r="B9" s="274"/>
      <c r="C9" s="274"/>
      <c r="E9" s="120" t="s">
        <v>14</v>
      </c>
      <c r="G9" s="117"/>
      <c r="J9" s="274" t="s">
        <v>66</v>
      </c>
      <c r="K9" s="274"/>
      <c r="L9" s="274"/>
      <c r="N9" s="120" t="s">
        <v>14</v>
      </c>
      <c r="P9" s="117"/>
    </row>
    <row r="10" spans="7:16" ht="16.5" customHeight="1" thickBot="1">
      <c r="G10" s="116" t="s">
        <v>65</v>
      </c>
      <c r="P10" s="116" t="s">
        <v>65</v>
      </c>
    </row>
    <row r="11" spans="1:16" ht="16.5" customHeight="1">
      <c r="A11" s="120" t="str">
        <f>'Fase Final Absolut'!A14</f>
        <v>2n. Grup 32</v>
      </c>
      <c r="B11" s="121"/>
      <c r="C11" s="121"/>
      <c r="D11" s="121"/>
      <c r="E11" s="121"/>
      <c r="F11" s="122"/>
      <c r="G11" s="118"/>
      <c r="J11" s="123" t="str">
        <f>'Fase Final Absolut'!A46</f>
        <v>2n. Grup 31</v>
      </c>
      <c r="K11" s="121"/>
      <c r="L11" s="121"/>
      <c r="M11" s="121"/>
      <c r="N11" s="121"/>
      <c r="O11" s="122"/>
      <c r="P11" s="118"/>
    </row>
    <row r="12" spans="1:16" ht="16.5" customHeight="1" thickBot="1">
      <c r="A12" s="120" t="str">
        <f>'Fase Final Absolut'!A16</f>
        <v>Gerard Buenache</v>
      </c>
      <c r="B12" s="121"/>
      <c r="C12" s="121"/>
      <c r="D12" s="121"/>
      <c r="E12" s="121"/>
      <c r="F12" s="122"/>
      <c r="G12" s="119"/>
      <c r="J12" s="123" t="str">
        <f>'Fase Final Absolut'!A48</f>
        <v>Josep Monforte</v>
      </c>
      <c r="K12" s="121"/>
      <c r="L12" s="121"/>
      <c r="M12" s="121"/>
      <c r="N12" s="121"/>
      <c r="O12" s="122"/>
      <c r="P12" s="119"/>
    </row>
    <row r="13" spans="1:16" ht="16.5" customHeight="1">
      <c r="A13" s="192" t="s">
        <v>265</v>
      </c>
      <c r="B13" s="272" t="str">
        <f>'Fase Final Absolut'!A19</f>
        <v>Jordi Ros</v>
      </c>
      <c r="C13" s="273"/>
      <c r="D13" s="273"/>
      <c r="E13" s="273"/>
      <c r="F13" s="273"/>
      <c r="G13" s="188"/>
      <c r="J13" s="192" t="s">
        <v>265</v>
      </c>
      <c r="K13" s="272" t="str">
        <f>'Fase Final Absolut'!A47</f>
        <v>Carlos Canós</v>
      </c>
      <c r="L13" s="273"/>
      <c r="M13" s="273"/>
      <c r="N13" s="273"/>
      <c r="O13" s="273"/>
      <c r="P13" s="188"/>
    </row>
    <row r="14" ht="7.5" customHeight="1"/>
    <row r="15" spans="1:17" ht="7.5" customHeight="1" thickBot="1">
      <c r="A15" s="124"/>
      <c r="B15" s="124"/>
      <c r="C15" s="124"/>
      <c r="D15" s="124"/>
      <c r="E15" s="124"/>
      <c r="F15" s="124"/>
      <c r="G15" s="125"/>
      <c r="H15" s="124"/>
      <c r="I15" s="124"/>
      <c r="J15" s="126"/>
      <c r="K15" s="124"/>
      <c r="L15" s="124"/>
      <c r="M15" s="124"/>
      <c r="N15" s="124"/>
      <c r="O15" s="124"/>
      <c r="P15" s="125"/>
      <c r="Q15" s="124"/>
    </row>
    <row r="16" spans="1:16" ht="16.5" customHeight="1" thickBot="1">
      <c r="A16" s="274" t="s">
        <v>66</v>
      </c>
      <c r="B16" s="274"/>
      <c r="C16" s="274"/>
      <c r="E16" s="120" t="s">
        <v>14</v>
      </c>
      <c r="G16" s="117"/>
      <c r="J16" s="274" t="s">
        <v>66</v>
      </c>
      <c r="K16" s="274"/>
      <c r="L16" s="274"/>
      <c r="N16" s="120" t="s">
        <v>14</v>
      </c>
      <c r="P16" s="117"/>
    </row>
    <row r="17" spans="7:16" ht="16.5" customHeight="1" thickBot="1">
      <c r="G17" s="116" t="s">
        <v>65</v>
      </c>
      <c r="P17" s="116" t="s">
        <v>65</v>
      </c>
    </row>
    <row r="18" spans="1:16" ht="16.5" customHeight="1">
      <c r="A18" s="120" t="str">
        <f>'Fase Final Absolut'!A18</f>
        <v>1r. Grup 29</v>
      </c>
      <c r="B18" s="121"/>
      <c r="C18" s="121"/>
      <c r="D18" s="121"/>
      <c r="E18" s="121"/>
      <c r="F18" s="122"/>
      <c r="G18" s="118"/>
      <c r="J18" s="123" t="str">
        <f>'Fase Final Absolut'!A50</f>
        <v>1r. Grup 30</v>
      </c>
      <c r="K18" s="121"/>
      <c r="L18" s="121"/>
      <c r="M18" s="121"/>
      <c r="N18" s="121"/>
      <c r="O18" s="122"/>
      <c r="P18" s="118"/>
    </row>
    <row r="19" spans="1:16" ht="16.5" customHeight="1" thickBot="1">
      <c r="A19" s="120" t="str">
        <f>'Fase Final Absolut'!A20</f>
        <v>Ricard Boncompte</v>
      </c>
      <c r="B19" s="121"/>
      <c r="C19" s="121"/>
      <c r="D19" s="121"/>
      <c r="E19" s="121"/>
      <c r="F19" s="122"/>
      <c r="G19" s="119"/>
      <c r="J19" s="123" t="str">
        <f>'Fase Final Absolut'!A52</f>
        <v>Miquel  Salat</v>
      </c>
      <c r="K19" s="121"/>
      <c r="L19" s="121"/>
      <c r="M19" s="121"/>
      <c r="N19" s="121"/>
      <c r="O19" s="122"/>
      <c r="P19" s="119"/>
    </row>
    <row r="20" spans="1:16" ht="16.5" customHeight="1">
      <c r="A20" s="192" t="s">
        <v>265</v>
      </c>
      <c r="B20" s="272" t="str">
        <f>'Fase Final Absolut'!A23</f>
        <v>Toni Sánchez</v>
      </c>
      <c r="C20" s="273"/>
      <c r="D20" s="273"/>
      <c r="E20" s="273"/>
      <c r="F20" s="273"/>
      <c r="G20" s="188"/>
      <c r="J20" s="192" t="s">
        <v>265</v>
      </c>
      <c r="K20" s="272" t="str">
        <f>'Fase Final Absolut'!A51</f>
        <v>Marc Sancho</v>
      </c>
      <c r="L20" s="273"/>
      <c r="M20" s="273"/>
      <c r="N20" s="273"/>
      <c r="O20" s="273"/>
      <c r="P20" s="188"/>
    </row>
    <row r="21" ht="7.5" customHeight="1"/>
    <row r="22" spans="1:17" ht="7.5" customHeight="1" thickBot="1">
      <c r="A22" s="124"/>
      <c r="B22" s="124"/>
      <c r="C22" s="124"/>
      <c r="D22" s="124"/>
      <c r="E22" s="124"/>
      <c r="F22" s="124"/>
      <c r="G22" s="125"/>
      <c r="H22" s="124"/>
      <c r="I22" s="124"/>
      <c r="J22" s="126"/>
      <c r="K22" s="124"/>
      <c r="L22" s="124"/>
      <c r="M22" s="124"/>
      <c r="N22" s="124"/>
      <c r="O22" s="124"/>
      <c r="P22" s="125"/>
      <c r="Q22" s="124"/>
    </row>
    <row r="23" spans="1:16" ht="16.5" customHeight="1" thickBot="1">
      <c r="A23" s="274" t="s">
        <v>66</v>
      </c>
      <c r="B23" s="274"/>
      <c r="C23" s="274"/>
      <c r="E23" s="120" t="s">
        <v>14</v>
      </c>
      <c r="G23" s="117"/>
      <c r="J23" s="274" t="s">
        <v>66</v>
      </c>
      <c r="K23" s="274"/>
      <c r="L23" s="274"/>
      <c r="N23" s="120" t="s">
        <v>14</v>
      </c>
      <c r="P23" s="117"/>
    </row>
    <row r="24" spans="7:16" ht="16.5" customHeight="1" thickBot="1">
      <c r="G24" s="116" t="s">
        <v>65</v>
      </c>
      <c r="P24" s="116" t="s">
        <v>65</v>
      </c>
    </row>
    <row r="25" spans="1:16" ht="16.5" customHeight="1">
      <c r="A25" s="120" t="str">
        <f>'Fase Final Absolut'!A22</f>
        <v>2n. Grup 28</v>
      </c>
      <c r="B25" s="121"/>
      <c r="C25" s="121"/>
      <c r="D25" s="121"/>
      <c r="E25" s="121"/>
      <c r="F25" s="122"/>
      <c r="G25" s="118"/>
      <c r="J25" s="123" t="str">
        <f>'Fase Final Absolut'!A54</f>
        <v>2n. Grup 28</v>
      </c>
      <c r="K25" s="121"/>
      <c r="L25" s="121"/>
      <c r="M25" s="121"/>
      <c r="N25" s="121"/>
      <c r="O25" s="122"/>
      <c r="P25" s="118"/>
    </row>
    <row r="26" spans="1:16" ht="16.5" customHeight="1" thickBot="1">
      <c r="A26" s="120" t="str">
        <f>'Fase Final Absolut'!A24</f>
        <v>Joan Ramon Macià</v>
      </c>
      <c r="B26" s="121"/>
      <c r="C26" s="121"/>
      <c r="D26" s="121"/>
      <c r="E26" s="121"/>
      <c r="F26" s="122"/>
      <c r="G26" s="119"/>
      <c r="J26" s="123" t="str">
        <f>'Fase Final Absolut'!A56</f>
        <v>1r. Grup 22</v>
      </c>
      <c r="K26" s="121"/>
      <c r="L26" s="121"/>
      <c r="M26" s="121"/>
      <c r="N26" s="121"/>
      <c r="O26" s="122"/>
      <c r="P26" s="119"/>
    </row>
    <row r="27" spans="1:16" ht="16.5" customHeight="1">
      <c r="A27" s="192" t="s">
        <v>265</v>
      </c>
      <c r="B27" s="272" t="str">
        <f>'Fase Final Absolut'!A27</f>
        <v>Ferran Tudela</v>
      </c>
      <c r="C27" s="273"/>
      <c r="D27" s="273"/>
      <c r="E27" s="273"/>
      <c r="F27" s="273"/>
      <c r="G27" s="188"/>
      <c r="J27" s="192" t="s">
        <v>265</v>
      </c>
      <c r="K27" s="272" t="str">
        <f>'Fase Final Absolut'!A55</f>
        <v>Victor Cayuela</v>
      </c>
      <c r="L27" s="273"/>
      <c r="M27" s="273"/>
      <c r="N27" s="273"/>
      <c r="O27" s="273"/>
      <c r="P27" s="188"/>
    </row>
    <row r="28" ht="7.5" customHeight="1"/>
    <row r="29" spans="1:17" ht="7.5" customHeight="1" thickBot="1">
      <c r="A29" s="124"/>
      <c r="B29" s="124"/>
      <c r="C29" s="124"/>
      <c r="D29" s="124"/>
      <c r="E29" s="124"/>
      <c r="F29" s="124"/>
      <c r="G29" s="125"/>
      <c r="H29" s="124"/>
      <c r="I29" s="124"/>
      <c r="J29" s="126"/>
      <c r="K29" s="124"/>
      <c r="L29" s="124"/>
      <c r="M29" s="124"/>
      <c r="N29" s="124"/>
      <c r="O29" s="124"/>
      <c r="P29" s="125"/>
      <c r="Q29" s="124"/>
    </row>
    <row r="30" spans="1:16" ht="16.5" customHeight="1" thickBot="1">
      <c r="A30" s="274" t="s">
        <v>66</v>
      </c>
      <c r="B30" s="274"/>
      <c r="C30" s="274"/>
      <c r="E30" s="120" t="s">
        <v>14</v>
      </c>
      <c r="G30" s="117"/>
      <c r="J30" s="274" t="s">
        <v>66</v>
      </c>
      <c r="K30" s="274"/>
      <c r="L30" s="274"/>
      <c r="N30" s="120" t="s">
        <v>14</v>
      </c>
      <c r="P30" s="117"/>
    </row>
    <row r="31" spans="7:16" ht="16.5" customHeight="1" thickBot="1">
      <c r="G31" s="116" t="s">
        <v>65</v>
      </c>
      <c r="P31" s="116" t="s">
        <v>65</v>
      </c>
    </row>
    <row r="32" spans="1:16" ht="16.5" customHeight="1">
      <c r="A32" s="120" t="str">
        <f>'Fase Final Absolut'!A26</f>
        <v>1r. Grup 28</v>
      </c>
      <c r="B32" s="121"/>
      <c r="C32" s="121"/>
      <c r="D32" s="121"/>
      <c r="E32" s="121"/>
      <c r="F32" s="122"/>
      <c r="G32" s="118"/>
      <c r="J32" s="123" t="str">
        <f>'Fase Final Absolut'!A58</f>
        <v>1r. Grup 28</v>
      </c>
      <c r="K32" s="121"/>
      <c r="L32" s="121"/>
      <c r="M32" s="121"/>
      <c r="N32" s="121"/>
      <c r="O32" s="122"/>
      <c r="P32" s="118"/>
    </row>
    <row r="33" spans="1:16" ht="16.5" customHeight="1" thickBot="1">
      <c r="A33" s="120" t="str">
        <f>'Fase Final Absolut'!A28</f>
        <v>2n. Grup 22</v>
      </c>
      <c r="B33" s="121"/>
      <c r="C33" s="121"/>
      <c r="D33" s="121"/>
      <c r="E33" s="121"/>
      <c r="F33" s="122"/>
      <c r="G33" s="119"/>
      <c r="J33" s="123" t="str">
        <f>'Fase Final Absolut'!A60</f>
        <v>Albert Marquillas</v>
      </c>
      <c r="K33" s="121"/>
      <c r="L33" s="121"/>
      <c r="M33" s="121"/>
      <c r="N33" s="121"/>
      <c r="O33" s="122"/>
      <c r="P33" s="119"/>
    </row>
    <row r="34" spans="1:16" ht="16.5" customHeight="1">
      <c r="A34" s="192" t="s">
        <v>265</v>
      </c>
      <c r="B34" s="272" t="str">
        <f>'Fase Final Absolut'!A31</f>
        <v>Gerard Bernadó</v>
      </c>
      <c r="C34" s="273"/>
      <c r="D34" s="273"/>
      <c r="E34" s="273"/>
      <c r="F34" s="273"/>
      <c r="G34" s="188"/>
      <c r="J34" s="192" t="s">
        <v>265</v>
      </c>
      <c r="K34" s="272" t="str">
        <f>'Fase Final Absolut'!A59</f>
        <v>Joel Roselló</v>
      </c>
      <c r="L34" s="273"/>
      <c r="M34" s="273"/>
      <c r="N34" s="273"/>
      <c r="O34" s="273"/>
      <c r="P34" s="188"/>
    </row>
    <row r="35" ht="7.5" customHeight="1"/>
    <row r="36" spans="1:17" ht="7.5" customHeight="1" thickBot="1">
      <c r="A36" s="124"/>
      <c r="B36" s="124"/>
      <c r="C36" s="124"/>
      <c r="D36" s="124"/>
      <c r="E36" s="124"/>
      <c r="F36" s="124"/>
      <c r="G36" s="125"/>
      <c r="H36" s="124"/>
      <c r="I36" s="124"/>
      <c r="J36" s="126"/>
      <c r="K36" s="124"/>
      <c r="L36" s="124"/>
      <c r="M36" s="124"/>
      <c r="N36" s="124"/>
      <c r="O36" s="124"/>
      <c r="P36" s="125"/>
      <c r="Q36" s="124"/>
    </row>
    <row r="37" spans="1:16" ht="16.5" customHeight="1" thickBot="1">
      <c r="A37" s="274" t="s">
        <v>66</v>
      </c>
      <c r="B37" s="274"/>
      <c r="C37" s="274"/>
      <c r="E37" s="120" t="s">
        <v>14</v>
      </c>
      <c r="G37" s="117"/>
      <c r="J37" s="274" t="s">
        <v>66</v>
      </c>
      <c r="K37" s="274"/>
      <c r="L37" s="274"/>
      <c r="N37" s="120" t="s">
        <v>14</v>
      </c>
      <c r="P37" s="117"/>
    </row>
    <row r="38" spans="7:16" ht="16.5" customHeight="1" thickBot="1">
      <c r="G38" s="116" t="s">
        <v>65</v>
      </c>
      <c r="P38" s="116" t="s">
        <v>65</v>
      </c>
    </row>
    <row r="39" spans="1:16" ht="16.5" customHeight="1">
      <c r="A39" s="120" t="str">
        <f>'Fase Final Absolut'!A30</f>
        <v>2n. Grup 30</v>
      </c>
      <c r="B39" s="121"/>
      <c r="C39" s="121"/>
      <c r="D39" s="121"/>
      <c r="E39" s="121"/>
      <c r="F39" s="122"/>
      <c r="G39" s="118"/>
      <c r="J39" s="123" t="str">
        <f>'Fase Final Absolut'!A62</f>
        <v>2n. Grup 29</v>
      </c>
      <c r="K39" s="121"/>
      <c r="L39" s="121"/>
      <c r="M39" s="121"/>
      <c r="N39" s="121"/>
      <c r="O39" s="122"/>
      <c r="P39" s="118"/>
    </row>
    <row r="40" spans="1:16" ht="16.5" customHeight="1" thickBot="1">
      <c r="A40" s="120" t="str">
        <f>'Fase Final Absolut'!A32</f>
        <v>Josep Perelló</v>
      </c>
      <c r="B40" s="121"/>
      <c r="C40" s="121"/>
      <c r="D40" s="121"/>
      <c r="E40" s="121"/>
      <c r="F40" s="122"/>
      <c r="G40" s="119"/>
      <c r="J40" s="123" t="str">
        <f>'Fase Final Absolut'!A64</f>
        <v>Salvador Berenguer</v>
      </c>
      <c r="K40" s="121"/>
      <c r="L40" s="121"/>
      <c r="M40" s="121"/>
      <c r="N40" s="121"/>
      <c r="O40" s="122"/>
      <c r="P40" s="119"/>
    </row>
    <row r="41" spans="1:16" ht="16.5" customHeight="1">
      <c r="A41" s="192" t="s">
        <v>265</v>
      </c>
      <c r="B41" s="272" t="str">
        <f>'Fase Final Absolut'!A35</f>
        <v>Xavier Farré</v>
      </c>
      <c r="C41" s="273"/>
      <c r="D41" s="273"/>
      <c r="E41" s="273"/>
      <c r="F41" s="273"/>
      <c r="G41" s="188"/>
      <c r="J41" s="192" t="s">
        <v>265</v>
      </c>
      <c r="K41" s="272" t="str">
        <f>'Fase Final Absolut'!A63</f>
        <v>Jordi Rodriguez</v>
      </c>
      <c r="L41" s="273"/>
      <c r="M41" s="273"/>
      <c r="N41" s="273"/>
      <c r="O41" s="273"/>
      <c r="P41" s="188"/>
    </row>
    <row r="42" ht="7.5" customHeight="1"/>
    <row r="43" spans="1:17" ht="7.5" customHeight="1" thickBot="1">
      <c r="A43" s="124"/>
      <c r="B43" s="124"/>
      <c r="C43" s="124"/>
      <c r="D43" s="124"/>
      <c r="E43" s="124"/>
      <c r="F43" s="124"/>
      <c r="G43" s="125"/>
      <c r="H43" s="124"/>
      <c r="I43" s="124"/>
      <c r="J43" s="126"/>
      <c r="K43" s="124"/>
      <c r="L43" s="124"/>
      <c r="M43" s="124"/>
      <c r="N43" s="124"/>
      <c r="O43" s="124"/>
      <c r="P43" s="125"/>
      <c r="Q43" s="124"/>
    </row>
    <row r="44" spans="1:16" ht="16.5" customHeight="1" thickBot="1">
      <c r="A44" s="274" t="s">
        <v>66</v>
      </c>
      <c r="B44" s="274"/>
      <c r="C44" s="274"/>
      <c r="E44" s="120" t="s">
        <v>14</v>
      </c>
      <c r="G44" s="117"/>
      <c r="J44" s="274" t="s">
        <v>66</v>
      </c>
      <c r="K44" s="274"/>
      <c r="L44" s="274"/>
      <c r="N44" s="120" t="s">
        <v>14</v>
      </c>
      <c r="P44" s="117"/>
    </row>
    <row r="45" spans="7:16" ht="16.5" customHeight="1" thickBot="1">
      <c r="G45" s="116" t="s">
        <v>65</v>
      </c>
      <c r="P45" s="116" t="s">
        <v>65</v>
      </c>
    </row>
    <row r="46" spans="1:16" ht="16.5" customHeight="1">
      <c r="A46" s="120" t="str">
        <f>'Fase Final Absolut'!A34</f>
        <v>1r. Grup 31</v>
      </c>
      <c r="B46" s="121"/>
      <c r="C46" s="121"/>
      <c r="D46" s="121"/>
      <c r="E46" s="121"/>
      <c r="F46" s="122"/>
      <c r="G46" s="118"/>
      <c r="J46" s="123" t="str">
        <f>'Fase Final Absolut'!A66</f>
        <v>1r. Grup 32</v>
      </c>
      <c r="K46" s="121"/>
      <c r="L46" s="121"/>
      <c r="M46" s="121"/>
      <c r="N46" s="121"/>
      <c r="O46" s="122"/>
      <c r="P46" s="118"/>
    </row>
    <row r="47" spans="1:16" ht="16.5" customHeight="1" thickBot="1">
      <c r="A47" s="120" t="str">
        <f>'Fase Final Absolut'!A36</f>
        <v>Pau Palau</v>
      </c>
      <c r="B47" s="121"/>
      <c r="C47" s="121"/>
      <c r="D47" s="121"/>
      <c r="E47" s="121"/>
      <c r="F47" s="122"/>
      <c r="G47" s="119"/>
      <c r="J47" s="123" t="str">
        <f>'Fase Final Absolut'!A68</f>
        <v>Joel Parramon</v>
      </c>
      <c r="K47" s="121"/>
      <c r="L47" s="121"/>
      <c r="M47" s="121"/>
      <c r="N47" s="121"/>
      <c r="O47" s="122"/>
      <c r="P47" s="119"/>
    </row>
    <row r="48" spans="1:16" ht="16.5" customHeight="1">
      <c r="A48" s="192" t="s">
        <v>265</v>
      </c>
      <c r="B48" s="272" t="str">
        <f>'Fase Final Absolut'!A39</f>
        <v>Aleix Farrero</v>
      </c>
      <c r="C48" s="273"/>
      <c r="D48" s="273"/>
      <c r="E48" s="273"/>
      <c r="F48" s="273"/>
      <c r="G48" s="188"/>
      <c r="J48" s="192" t="s">
        <v>265</v>
      </c>
      <c r="K48" s="272" t="str">
        <f>'Fase Final Absolut'!A67</f>
        <v>Sebastian Lech</v>
      </c>
      <c r="L48" s="273"/>
      <c r="M48" s="273"/>
      <c r="N48" s="273"/>
      <c r="O48" s="273"/>
      <c r="P48" s="188"/>
    </row>
    <row r="49" ht="7.5" customHeight="1"/>
    <row r="50" spans="1:17" ht="7.5" customHeight="1" thickBot="1">
      <c r="A50" s="124"/>
      <c r="B50" s="124"/>
      <c r="C50" s="124"/>
      <c r="D50" s="124"/>
      <c r="E50" s="124"/>
      <c r="F50" s="124"/>
      <c r="G50" s="125"/>
      <c r="H50" s="124"/>
      <c r="I50" s="124"/>
      <c r="J50" s="126"/>
      <c r="K50" s="124"/>
      <c r="L50" s="124"/>
      <c r="M50" s="124"/>
      <c r="N50" s="124"/>
      <c r="O50" s="124"/>
      <c r="P50" s="125"/>
      <c r="Q50" s="124"/>
    </row>
    <row r="51" spans="1:16" ht="16.5" customHeight="1" thickBot="1">
      <c r="A51" s="274" t="s">
        <v>66</v>
      </c>
      <c r="B51" s="274"/>
      <c r="C51" s="274"/>
      <c r="E51" s="120" t="s">
        <v>14</v>
      </c>
      <c r="G51" s="117"/>
      <c r="J51" s="274" t="s">
        <v>66</v>
      </c>
      <c r="K51" s="274"/>
      <c r="L51" s="274"/>
      <c r="N51" s="120" t="s">
        <v>14</v>
      </c>
      <c r="P51" s="117"/>
    </row>
    <row r="52" spans="7:16" ht="16.5" customHeight="1" thickBot="1">
      <c r="G52" s="116" t="s">
        <v>65</v>
      </c>
      <c r="P52" s="116" t="s">
        <v>65</v>
      </c>
    </row>
    <row r="53" spans="1:16" ht="16.5" customHeight="1">
      <c r="A53" s="120" t="str">
        <f>'Fase Final Absolut'!A38</f>
        <v>2n. Grup 26</v>
      </c>
      <c r="B53" s="121"/>
      <c r="C53" s="121"/>
      <c r="D53" s="121"/>
      <c r="E53" s="121"/>
      <c r="F53" s="122"/>
      <c r="G53" s="118"/>
      <c r="J53" s="123" t="str">
        <f>'Fase Final Absolut'!A70</f>
        <v>2n. Grup 25</v>
      </c>
      <c r="K53" s="121"/>
      <c r="L53" s="121"/>
      <c r="M53" s="121"/>
      <c r="N53" s="121"/>
      <c r="O53" s="122"/>
      <c r="P53" s="118"/>
    </row>
    <row r="54" spans="1:16" ht="16.5" customHeight="1" thickBot="1">
      <c r="A54" s="120" t="str">
        <f>'Fase Final Absolut'!A40</f>
        <v>1r. Grup 23</v>
      </c>
      <c r="B54" s="121"/>
      <c r="C54" s="121"/>
      <c r="D54" s="121"/>
      <c r="E54" s="121"/>
      <c r="F54" s="122"/>
      <c r="G54" s="119"/>
      <c r="J54" s="123" t="str">
        <f>'Fase Final Absolut'!A72</f>
        <v>1r. Grup 24</v>
      </c>
      <c r="K54" s="121"/>
      <c r="L54" s="121"/>
      <c r="M54" s="121"/>
      <c r="N54" s="121"/>
      <c r="O54" s="122"/>
      <c r="P54" s="119"/>
    </row>
    <row r="55" spans="1:16" ht="16.5" customHeight="1">
      <c r="A55" s="192" t="s">
        <v>265</v>
      </c>
      <c r="B55" s="272" t="str">
        <f>'Fase Final Absolut'!A43</f>
        <v>Pol Patau</v>
      </c>
      <c r="C55" s="273"/>
      <c r="D55" s="273"/>
      <c r="E55" s="273"/>
      <c r="F55" s="273"/>
      <c r="G55" s="188"/>
      <c r="J55" s="192" t="s">
        <v>265</v>
      </c>
      <c r="K55" s="272" t="str">
        <f>'Fase Final Absolut'!A71</f>
        <v>Joan Palau</v>
      </c>
      <c r="L55" s="273"/>
      <c r="M55" s="273"/>
      <c r="N55" s="273"/>
      <c r="O55" s="273"/>
      <c r="P55" s="188"/>
    </row>
  </sheetData>
  <sheetProtection/>
  <mergeCells count="32">
    <mergeCell ref="K20:O20"/>
    <mergeCell ref="K27:O27"/>
    <mergeCell ref="K34:O34"/>
    <mergeCell ref="K41:O41"/>
    <mergeCell ref="K48:O48"/>
    <mergeCell ref="K55:O55"/>
    <mergeCell ref="J44:L44"/>
    <mergeCell ref="J51:L51"/>
    <mergeCell ref="J23:L23"/>
    <mergeCell ref="J30:L30"/>
    <mergeCell ref="B48:F48"/>
    <mergeCell ref="B55:F55"/>
    <mergeCell ref="A44:C44"/>
    <mergeCell ref="A51:C51"/>
    <mergeCell ref="A23:C23"/>
    <mergeCell ref="A30:C30"/>
    <mergeCell ref="B6:F6"/>
    <mergeCell ref="B13:F13"/>
    <mergeCell ref="B20:F20"/>
    <mergeCell ref="B27:F27"/>
    <mergeCell ref="B34:F34"/>
    <mergeCell ref="B41:F41"/>
    <mergeCell ref="K6:O6"/>
    <mergeCell ref="K13:O13"/>
    <mergeCell ref="A37:C37"/>
    <mergeCell ref="J37:L37"/>
    <mergeCell ref="A2:C2"/>
    <mergeCell ref="J2:L2"/>
    <mergeCell ref="A9:C9"/>
    <mergeCell ref="J9:L9"/>
    <mergeCell ref="A16:C16"/>
    <mergeCell ref="J16:L1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55"/>
  <sheetViews>
    <sheetView zoomScale="130" zoomScaleNormal="130" zoomScalePageLayoutView="0" workbookViewId="0" topLeftCell="A1">
      <selection activeCell="A5" sqref="A5"/>
    </sheetView>
  </sheetViews>
  <sheetFormatPr defaultColWidth="11.421875" defaultRowHeight="16.5" customHeight="1"/>
  <cols>
    <col min="1" max="1" width="25.140625" style="120" customWidth="1"/>
    <col min="2" max="6" width="5.140625" style="120" customWidth="1"/>
    <col min="7" max="7" width="11.421875" style="116" customWidth="1"/>
    <col min="8" max="8" width="11.421875" style="120" customWidth="1"/>
    <col min="9" max="9" width="1.421875" style="120" customWidth="1"/>
    <col min="10" max="10" width="25.28125" style="123" customWidth="1"/>
    <col min="11" max="15" width="5.140625" style="120" customWidth="1"/>
    <col min="16" max="16" width="11.421875" style="116" customWidth="1"/>
    <col min="17" max="16384" width="11.421875" style="120" customWidth="1"/>
  </cols>
  <sheetData>
    <row r="1" ht="16.5" customHeight="1" thickBot="1"/>
    <row r="2" spans="1:16" ht="16.5" customHeight="1" thickBot="1">
      <c r="A2" s="274" t="s">
        <v>67</v>
      </c>
      <c r="B2" s="274"/>
      <c r="C2" s="274"/>
      <c r="E2" s="120" t="s">
        <v>14</v>
      </c>
      <c r="G2" s="117"/>
      <c r="J2" s="274" t="s">
        <v>67</v>
      </c>
      <c r="K2" s="274"/>
      <c r="L2" s="274"/>
      <c r="N2" s="120" t="s">
        <v>14</v>
      </c>
      <c r="P2" s="117"/>
    </row>
    <row r="3" spans="7:16" ht="16.5" customHeight="1" thickBot="1">
      <c r="G3" s="116" t="s">
        <v>65</v>
      </c>
      <c r="P3" s="116" t="s">
        <v>65</v>
      </c>
    </row>
    <row r="4" spans="1:16" ht="16.5" customHeight="1">
      <c r="A4" s="120" t="str">
        <f>'Fase Final Absolut'!D9</f>
        <v>Arnau Ferre</v>
      </c>
      <c r="B4" s="121"/>
      <c r="C4" s="121"/>
      <c r="D4" s="121"/>
      <c r="E4" s="121"/>
      <c r="F4" s="122"/>
      <c r="G4" s="118"/>
      <c r="J4" s="123" t="str">
        <f>'Fase Final Absolut'!D41</f>
        <v>Pol Patau</v>
      </c>
      <c r="K4" s="121"/>
      <c r="L4" s="121"/>
      <c r="M4" s="121"/>
      <c r="N4" s="121"/>
      <c r="O4" s="122"/>
      <c r="P4" s="118"/>
    </row>
    <row r="5" spans="1:16" ht="16.5" customHeight="1" thickBot="1">
      <c r="A5" s="120">
        <f>'Fase Final Absolut'!D11</f>
      </c>
      <c r="B5" s="121"/>
      <c r="C5" s="121"/>
      <c r="D5" s="121"/>
      <c r="E5" s="121"/>
      <c r="F5" s="122"/>
      <c r="G5" s="119"/>
      <c r="J5" s="123">
        <f>'Fase Final Absolut'!D43</f>
      </c>
      <c r="K5" s="121"/>
      <c r="L5" s="121"/>
      <c r="M5" s="121"/>
      <c r="N5" s="121"/>
      <c r="O5" s="122"/>
      <c r="P5" s="119"/>
    </row>
    <row r="6" spans="1:16" ht="16.5" customHeight="1">
      <c r="A6" s="192" t="s">
        <v>265</v>
      </c>
      <c r="B6" s="272" t="str">
        <f>'Fase Final Absolut'!D10</f>
        <v>1r. Grup 25</v>
      </c>
      <c r="C6" s="273"/>
      <c r="D6" s="273"/>
      <c r="E6" s="273"/>
      <c r="F6" s="273"/>
      <c r="G6" s="188"/>
      <c r="J6" s="192" t="s">
        <v>265</v>
      </c>
      <c r="K6" s="272" t="str">
        <f>'Fase Final Absolut'!D42</f>
        <v>Arnau Calvet</v>
      </c>
      <c r="L6" s="273"/>
      <c r="M6" s="273"/>
      <c r="N6" s="273"/>
      <c r="O6" s="273"/>
      <c r="P6" s="188"/>
    </row>
    <row r="7" ht="7.5" customHeight="1"/>
    <row r="8" spans="1:17" ht="7.5" customHeight="1" thickBot="1">
      <c r="A8" s="124"/>
      <c r="B8" s="124"/>
      <c r="C8" s="124"/>
      <c r="D8" s="124"/>
      <c r="E8" s="124"/>
      <c r="F8" s="124"/>
      <c r="G8" s="125"/>
      <c r="H8" s="124"/>
      <c r="I8" s="124"/>
      <c r="J8" s="126"/>
      <c r="K8" s="124"/>
      <c r="L8" s="124"/>
      <c r="M8" s="124"/>
      <c r="N8" s="124"/>
      <c r="O8" s="124"/>
      <c r="P8" s="125"/>
      <c r="Q8" s="124"/>
    </row>
    <row r="9" spans="1:16" ht="16.5" customHeight="1" thickBot="1">
      <c r="A9" s="274" t="s">
        <v>67</v>
      </c>
      <c r="B9" s="274"/>
      <c r="C9" s="274"/>
      <c r="E9" s="120" t="s">
        <v>14</v>
      </c>
      <c r="G9" s="117"/>
      <c r="J9" s="274" t="s">
        <v>67</v>
      </c>
      <c r="K9" s="274"/>
      <c r="L9" s="274"/>
      <c r="N9" s="120" t="s">
        <v>14</v>
      </c>
      <c r="P9" s="117"/>
    </row>
    <row r="10" spans="7:16" ht="16.5" customHeight="1" thickBot="1">
      <c r="G10" s="116" t="s">
        <v>65</v>
      </c>
      <c r="P10" s="116" t="s">
        <v>65</v>
      </c>
    </row>
    <row r="11" spans="1:16" ht="16.5" customHeight="1">
      <c r="A11" s="120" t="str">
        <f>'Fase Final Absolut'!D13</f>
        <v>Àngel Garcia</v>
      </c>
      <c r="B11" s="121"/>
      <c r="C11" s="121"/>
      <c r="D11" s="121"/>
      <c r="E11" s="121"/>
      <c r="F11" s="122"/>
      <c r="G11" s="118"/>
      <c r="J11" s="123" t="str">
        <f>'Fase Final Absolut'!D45</f>
        <v>Carlos Canós</v>
      </c>
      <c r="K11" s="121"/>
      <c r="L11" s="121"/>
      <c r="M11" s="121"/>
      <c r="N11" s="121"/>
      <c r="O11" s="122"/>
      <c r="P11" s="118"/>
    </row>
    <row r="12" spans="1:16" ht="16.5" customHeight="1" thickBot="1">
      <c r="A12" s="120" t="str">
        <f>'Fase Final Absolut'!D15</f>
        <v>Gerard Buenache</v>
      </c>
      <c r="B12" s="121"/>
      <c r="C12" s="121"/>
      <c r="D12" s="121"/>
      <c r="E12" s="121"/>
      <c r="F12" s="122"/>
      <c r="G12" s="119"/>
      <c r="J12" s="123" t="str">
        <f>'Fase Final Absolut'!D47</f>
        <v>Josep Monforte</v>
      </c>
      <c r="K12" s="121"/>
      <c r="L12" s="121"/>
      <c r="M12" s="121"/>
      <c r="N12" s="121"/>
      <c r="O12" s="122"/>
      <c r="P12" s="119"/>
    </row>
    <row r="13" spans="1:16" ht="16.5" customHeight="1">
      <c r="A13" s="192" t="s">
        <v>265</v>
      </c>
      <c r="B13" s="272" t="str">
        <f>'Fase Final Absolut'!D14</f>
        <v>Pau Vendrell</v>
      </c>
      <c r="C13" s="273"/>
      <c r="D13" s="273"/>
      <c r="E13" s="273"/>
      <c r="F13" s="273"/>
      <c r="G13" s="188"/>
      <c r="J13" s="192" t="s">
        <v>265</v>
      </c>
      <c r="K13" s="272" t="str">
        <f>'Fase Final Absolut'!D46</f>
        <v>Pere Porta</v>
      </c>
      <c r="L13" s="273"/>
      <c r="M13" s="273"/>
      <c r="N13" s="273"/>
      <c r="O13" s="273"/>
      <c r="P13" s="188"/>
    </row>
    <row r="14" ht="7.5" customHeight="1"/>
    <row r="15" spans="1:17" ht="7.5" customHeight="1" thickBot="1">
      <c r="A15" s="124"/>
      <c r="B15" s="124"/>
      <c r="C15" s="124"/>
      <c r="D15" s="124"/>
      <c r="E15" s="124"/>
      <c r="F15" s="124"/>
      <c r="G15" s="125"/>
      <c r="H15" s="124"/>
      <c r="I15" s="124"/>
      <c r="J15" s="126"/>
      <c r="K15" s="124"/>
      <c r="L15" s="124"/>
      <c r="M15" s="124"/>
      <c r="N15" s="124"/>
      <c r="O15" s="124"/>
      <c r="P15" s="125"/>
      <c r="Q15" s="124"/>
    </row>
    <row r="16" spans="1:16" ht="16.5" customHeight="1" thickBot="1">
      <c r="A16" s="274" t="s">
        <v>67</v>
      </c>
      <c r="B16" s="274"/>
      <c r="C16" s="274"/>
      <c r="E16" s="120" t="s">
        <v>14</v>
      </c>
      <c r="G16" s="117"/>
      <c r="J16" s="274" t="s">
        <v>67</v>
      </c>
      <c r="K16" s="274"/>
      <c r="L16" s="274"/>
      <c r="N16" s="120" t="s">
        <v>14</v>
      </c>
      <c r="P16" s="117"/>
    </row>
    <row r="17" spans="7:16" ht="16.5" customHeight="1" thickBot="1">
      <c r="G17" s="116" t="s">
        <v>65</v>
      </c>
      <c r="P17" s="116" t="s">
        <v>65</v>
      </c>
    </row>
    <row r="18" spans="1:16" ht="16.5" customHeight="1">
      <c r="A18" s="120" t="str">
        <f>'Fase Final Absolut'!D17</f>
        <v>Jordi Ros</v>
      </c>
      <c r="B18" s="121"/>
      <c r="C18" s="121"/>
      <c r="D18" s="121"/>
      <c r="E18" s="121"/>
      <c r="F18" s="122"/>
      <c r="G18" s="118"/>
      <c r="J18" s="123" t="str">
        <f>'Fase Final Absolut'!D49</f>
        <v>Marc Sancho</v>
      </c>
      <c r="K18" s="121"/>
      <c r="L18" s="121"/>
      <c r="M18" s="121"/>
      <c r="N18" s="121"/>
      <c r="O18" s="122"/>
      <c r="P18" s="118"/>
    </row>
    <row r="19" spans="1:16" ht="16.5" customHeight="1" thickBot="1">
      <c r="A19" s="120" t="str">
        <f>'Fase Final Absolut'!D19</f>
        <v>Ricard Boncompte</v>
      </c>
      <c r="B19" s="121"/>
      <c r="C19" s="121"/>
      <c r="D19" s="121"/>
      <c r="E19" s="121"/>
      <c r="F19" s="122"/>
      <c r="G19" s="119"/>
      <c r="J19" s="123" t="str">
        <f>'Fase Final Absolut'!D51</f>
        <v>Miquel  Salat</v>
      </c>
      <c r="K19" s="121"/>
      <c r="L19" s="121"/>
      <c r="M19" s="121"/>
      <c r="N19" s="121"/>
      <c r="O19" s="122"/>
      <c r="P19" s="119"/>
    </row>
    <row r="20" spans="1:16" ht="16.5" customHeight="1">
      <c r="A20" s="192" t="s">
        <v>265</v>
      </c>
      <c r="B20" s="272" t="str">
        <f>'Fase Final Absolut'!D18</f>
        <v>Lluís Torné</v>
      </c>
      <c r="C20" s="273"/>
      <c r="D20" s="273"/>
      <c r="E20" s="273"/>
      <c r="F20" s="273"/>
      <c r="G20" s="188"/>
      <c r="J20" s="192" t="s">
        <v>265</v>
      </c>
      <c r="K20" s="272" t="str">
        <f>'Fase Final Absolut'!D50</f>
        <v>David Arregui</v>
      </c>
      <c r="L20" s="273"/>
      <c r="M20" s="273"/>
      <c r="N20" s="273"/>
      <c r="O20" s="273"/>
      <c r="P20" s="188"/>
    </row>
    <row r="21" ht="7.5" customHeight="1"/>
    <row r="22" spans="1:17" ht="7.5" customHeight="1" thickBot="1">
      <c r="A22" s="124"/>
      <c r="B22" s="124"/>
      <c r="C22" s="124"/>
      <c r="D22" s="124"/>
      <c r="E22" s="124"/>
      <c r="F22" s="124"/>
      <c r="G22" s="125"/>
      <c r="H22" s="124"/>
      <c r="I22" s="124"/>
      <c r="J22" s="126"/>
      <c r="K22" s="124"/>
      <c r="L22" s="124"/>
      <c r="M22" s="124"/>
      <c r="N22" s="124"/>
      <c r="O22" s="124"/>
      <c r="P22" s="125"/>
      <c r="Q22" s="124"/>
    </row>
    <row r="23" spans="1:16" ht="16.5" customHeight="1" thickBot="1">
      <c r="A23" s="274" t="s">
        <v>67</v>
      </c>
      <c r="B23" s="274"/>
      <c r="C23" s="274"/>
      <c r="E23" s="120" t="s">
        <v>14</v>
      </c>
      <c r="G23" s="117"/>
      <c r="J23" s="274" t="s">
        <v>67</v>
      </c>
      <c r="K23" s="274"/>
      <c r="L23" s="274"/>
      <c r="N23" s="120" t="s">
        <v>14</v>
      </c>
      <c r="P23" s="117"/>
    </row>
    <row r="24" spans="7:16" ht="16.5" customHeight="1" thickBot="1">
      <c r="G24" s="116" t="s">
        <v>65</v>
      </c>
      <c r="P24" s="116" t="s">
        <v>65</v>
      </c>
    </row>
    <row r="25" spans="1:16" ht="16.5" customHeight="1">
      <c r="A25" s="120" t="str">
        <f>'Fase Final Absolut'!D21</f>
        <v>Toni Sánchez</v>
      </c>
      <c r="B25" s="121"/>
      <c r="C25" s="121"/>
      <c r="D25" s="121"/>
      <c r="E25" s="121"/>
      <c r="F25" s="122"/>
      <c r="G25" s="118"/>
      <c r="J25" s="123" t="str">
        <f>'Fase Final Absolut'!D53</f>
        <v>Victor Cayuela</v>
      </c>
      <c r="K25" s="121"/>
      <c r="L25" s="121"/>
      <c r="M25" s="121"/>
      <c r="N25" s="121"/>
      <c r="O25" s="122"/>
      <c r="P25" s="118"/>
    </row>
    <row r="26" spans="1:16" ht="16.5" customHeight="1" thickBot="1">
      <c r="A26" s="120" t="str">
        <f>'Fase Final Absolut'!D23</f>
        <v>Joan Ramon Macià</v>
      </c>
      <c r="B26" s="121"/>
      <c r="C26" s="121"/>
      <c r="D26" s="121"/>
      <c r="E26" s="121"/>
      <c r="F26" s="122"/>
      <c r="G26" s="119"/>
      <c r="J26" s="123">
        <f>'Fase Final Absolut'!D55</f>
      </c>
      <c r="K26" s="121"/>
      <c r="L26" s="121"/>
      <c r="M26" s="121"/>
      <c r="N26" s="121"/>
      <c r="O26" s="122"/>
      <c r="P26" s="119"/>
    </row>
    <row r="27" spans="1:16" ht="16.5" customHeight="1">
      <c r="A27" s="192" t="s">
        <v>265</v>
      </c>
      <c r="B27" s="272" t="str">
        <f>'Fase Final Absolut'!D22</f>
        <v>Carlos Chaves</v>
      </c>
      <c r="C27" s="273"/>
      <c r="D27" s="273"/>
      <c r="E27" s="273"/>
      <c r="F27" s="273"/>
      <c r="G27" s="188"/>
      <c r="J27" s="192" t="s">
        <v>265</v>
      </c>
      <c r="K27" s="272" t="str">
        <f>'Fase Final Absolut'!D54</f>
        <v>Guillem Arbiol</v>
      </c>
      <c r="L27" s="273"/>
      <c r="M27" s="273"/>
      <c r="N27" s="273"/>
      <c r="O27" s="273"/>
      <c r="P27" s="188"/>
    </row>
    <row r="28" ht="7.5" customHeight="1"/>
    <row r="29" spans="1:17" ht="7.5" customHeight="1" thickBot="1">
      <c r="A29" s="124"/>
      <c r="B29" s="124"/>
      <c r="C29" s="124"/>
      <c r="D29" s="124"/>
      <c r="E29" s="124"/>
      <c r="F29" s="124"/>
      <c r="G29" s="125"/>
      <c r="H29" s="124"/>
      <c r="I29" s="124"/>
      <c r="J29" s="126"/>
      <c r="K29" s="124"/>
      <c r="L29" s="124"/>
      <c r="M29" s="124"/>
      <c r="N29" s="124"/>
      <c r="O29" s="124"/>
      <c r="P29" s="125"/>
      <c r="Q29" s="124"/>
    </row>
    <row r="30" spans="1:16" ht="16.5" customHeight="1" thickBot="1">
      <c r="A30" s="274" t="s">
        <v>67</v>
      </c>
      <c r="B30" s="274"/>
      <c r="C30" s="274"/>
      <c r="E30" s="120" t="s">
        <v>14</v>
      </c>
      <c r="G30" s="117"/>
      <c r="J30" s="274" t="s">
        <v>67</v>
      </c>
      <c r="K30" s="274"/>
      <c r="L30" s="274"/>
      <c r="N30" s="120" t="s">
        <v>14</v>
      </c>
      <c r="P30" s="117"/>
    </row>
    <row r="31" spans="7:16" ht="16.5" customHeight="1" thickBot="1">
      <c r="G31" s="116" t="s">
        <v>65</v>
      </c>
      <c r="P31" s="116" t="s">
        <v>65</v>
      </c>
    </row>
    <row r="32" spans="1:16" ht="16.5" customHeight="1">
      <c r="A32" s="120" t="str">
        <f>'Fase Final Absolut'!D25</f>
        <v>Ferran Tudela</v>
      </c>
      <c r="B32" s="121"/>
      <c r="C32" s="121"/>
      <c r="D32" s="121"/>
      <c r="E32" s="121"/>
      <c r="F32" s="122"/>
      <c r="G32" s="118"/>
      <c r="J32" s="123" t="str">
        <f>'Fase Final Absolut'!D57</f>
        <v>Joel Roselló</v>
      </c>
      <c r="K32" s="121"/>
      <c r="L32" s="121"/>
      <c r="M32" s="121"/>
      <c r="N32" s="121"/>
      <c r="O32" s="122"/>
      <c r="P32" s="118"/>
    </row>
    <row r="33" spans="1:16" ht="16.5" customHeight="1" thickBot="1">
      <c r="A33" s="120">
        <f>'Fase Final Absolut'!D27</f>
      </c>
      <c r="B33" s="121"/>
      <c r="C33" s="121"/>
      <c r="D33" s="121"/>
      <c r="E33" s="121"/>
      <c r="F33" s="122"/>
      <c r="G33" s="119"/>
      <c r="J33" s="123" t="str">
        <f>'Fase Final Absolut'!D59</f>
        <v>Albert Marquillas</v>
      </c>
      <c r="K33" s="121"/>
      <c r="L33" s="121"/>
      <c r="M33" s="121"/>
      <c r="N33" s="121"/>
      <c r="O33" s="122"/>
      <c r="P33" s="119"/>
    </row>
    <row r="34" spans="1:16" ht="16.5" customHeight="1">
      <c r="A34" s="192" t="s">
        <v>265</v>
      </c>
      <c r="B34" s="272" t="str">
        <f>'Fase Final Absolut'!D26</f>
        <v>Dimitri Bus</v>
      </c>
      <c r="C34" s="273"/>
      <c r="D34" s="273"/>
      <c r="E34" s="273"/>
      <c r="F34" s="273"/>
      <c r="G34" s="188"/>
      <c r="J34" s="192" t="s">
        <v>265</v>
      </c>
      <c r="K34" s="272" t="str">
        <f>'Fase Final Absolut'!D58</f>
        <v>Marc Molina</v>
      </c>
      <c r="L34" s="273"/>
      <c r="M34" s="273"/>
      <c r="N34" s="273"/>
      <c r="O34" s="273"/>
      <c r="P34" s="188"/>
    </row>
    <row r="35" ht="7.5" customHeight="1"/>
    <row r="36" spans="1:17" ht="7.5" customHeight="1" thickBot="1">
      <c r="A36" s="124"/>
      <c r="B36" s="124"/>
      <c r="C36" s="124"/>
      <c r="D36" s="124"/>
      <c r="E36" s="124"/>
      <c r="F36" s="124"/>
      <c r="G36" s="125"/>
      <c r="H36" s="124"/>
      <c r="I36" s="124"/>
      <c r="J36" s="126"/>
      <c r="K36" s="124"/>
      <c r="L36" s="124"/>
      <c r="M36" s="124"/>
      <c r="N36" s="124"/>
      <c r="O36" s="124"/>
      <c r="P36" s="125"/>
      <c r="Q36" s="124"/>
    </row>
    <row r="37" spans="1:16" ht="16.5" customHeight="1" thickBot="1">
      <c r="A37" s="274" t="s">
        <v>67</v>
      </c>
      <c r="B37" s="274"/>
      <c r="C37" s="274"/>
      <c r="E37" s="120" t="s">
        <v>14</v>
      </c>
      <c r="G37" s="117"/>
      <c r="J37" s="274" t="s">
        <v>67</v>
      </c>
      <c r="K37" s="274"/>
      <c r="L37" s="274"/>
      <c r="N37" s="120" t="s">
        <v>14</v>
      </c>
      <c r="P37" s="117"/>
    </row>
    <row r="38" spans="7:16" ht="16.5" customHeight="1" thickBot="1">
      <c r="G38" s="116" t="s">
        <v>65</v>
      </c>
      <c r="P38" s="116" t="s">
        <v>65</v>
      </c>
    </row>
    <row r="39" spans="1:16" ht="16.5" customHeight="1">
      <c r="A39" s="120" t="str">
        <f>'Fase Final Absolut'!D29</f>
        <v>Gerard Bernadó</v>
      </c>
      <c r="B39" s="121"/>
      <c r="C39" s="121"/>
      <c r="D39" s="121"/>
      <c r="E39" s="121"/>
      <c r="F39" s="122"/>
      <c r="G39" s="118"/>
      <c r="J39" s="123" t="str">
        <f>'Fase Final Absolut'!D61</f>
        <v>Jordi Rodriguez</v>
      </c>
      <c r="K39" s="121"/>
      <c r="L39" s="121"/>
      <c r="M39" s="121"/>
      <c r="N39" s="121"/>
      <c r="O39" s="122"/>
      <c r="P39" s="118"/>
    </row>
    <row r="40" spans="1:16" ht="16.5" customHeight="1" thickBot="1">
      <c r="A40" s="120" t="str">
        <f>'Fase Final Absolut'!D31</f>
        <v>Josep Perelló</v>
      </c>
      <c r="B40" s="121"/>
      <c r="C40" s="121"/>
      <c r="D40" s="121"/>
      <c r="E40" s="121"/>
      <c r="F40" s="122"/>
      <c r="G40" s="119"/>
      <c r="J40" s="123" t="str">
        <f>'Fase Final Absolut'!D63</f>
        <v>Salvador Berenguer</v>
      </c>
      <c r="K40" s="121"/>
      <c r="L40" s="121"/>
      <c r="M40" s="121"/>
      <c r="N40" s="121"/>
      <c r="O40" s="122"/>
      <c r="P40" s="119"/>
    </row>
    <row r="41" spans="1:16" ht="16.5" customHeight="1">
      <c r="A41" s="192" t="s">
        <v>265</v>
      </c>
      <c r="B41" s="272" t="str">
        <f>'Fase Final Absolut'!D30</f>
        <v>Carles Gallart</v>
      </c>
      <c r="C41" s="273"/>
      <c r="D41" s="273"/>
      <c r="E41" s="273"/>
      <c r="F41" s="273"/>
      <c r="G41" s="188"/>
      <c r="J41" s="192" t="s">
        <v>265</v>
      </c>
      <c r="K41" s="272" t="str">
        <f>'Fase Final Absolut'!D62</f>
        <v>Agustí Sanz</v>
      </c>
      <c r="L41" s="273"/>
      <c r="M41" s="273"/>
      <c r="N41" s="273"/>
      <c r="O41" s="273"/>
      <c r="P41" s="188"/>
    </row>
    <row r="42" ht="7.5" customHeight="1"/>
    <row r="43" spans="1:17" ht="7.5" customHeight="1" thickBot="1">
      <c r="A43" s="124"/>
      <c r="B43" s="124"/>
      <c r="C43" s="124"/>
      <c r="D43" s="124"/>
      <c r="E43" s="124"/>
      <c r="F43" s="124"/>
      <c r="G43" s="125"/>
      <c r="H43" s="124"/>
      <c r="I43" s="124"/>
      <c r="J43" s="126"/>
      <c r="K43" s="124"/>
      <c r="L43" s="124"/>
      <c r="M43" s="124"/>
      <c r="N43" s="124"/>
      <c r="O43" s="124"/>
      <c r="P43" s="125"/>
      <c r="Q43" s="124"/>
    </row>
    <row r="44" spans="1:16" ht="16.5" customHeight="1" thickBot="1">
      <c r="A44" s="274" t="s">
        <v>67</v>
      </c>
      <c r="B44" s="274"/>
      <c r="C44" s="274"/>
      <c r="E44" s="120" t="s">
        <v>14</v>
      </c>
      <c r="G44" s="117"/>
      <c r="J44" s="274" t="s">
        <v>67</v>
      </c>
      <c r="K44" s="274"/>
      <c r="L44" s="274"/>
      <c r="N44" s="120" t="s">
        <v>14</v>
      </c>
      <c r="P44" s="117"/>
    </row>
    <row r="45" spans="7:16" ht="16.5" customHeight="1" thickBot="1">
      <c r="G45" s="116" t="s">
        <v>65</v>
      </c>
      <c r="P45" s="116" t="s">
        <v>65</v>
      </c>
    </row>
    <row r="46" spans="1:16" ht="16.5" customHeight="1">
      <c r="A46" s="120" t="str">
        <f>'Fase Final Absolut'!D33</f>
        <v>Xavier Farré</v>
      </c>
      <c r="B46" s="121"/>
      <c r="C46" s="121"/>
      <c r="D46" s="121"/>
      <c r="E46" s="121"/>
      <c r="F46" s="122"/>
      <c r="G46" s="118"/>
      <c r="J46" s="123" t="str">
        <f>'Fase Final Absolut'!D65</f>
        <v>Sebastian Lech</v>
      </c>
      <c r="K46" s="121"/>
      <c r="L46" s="121"/>
      <c r="M46" s="121"/>
      <c r="N46" s="121"/>
      <c r="O46" s="122"/>
      <c r="P46" s="118"/>
    </row>
    <row r="47" spans="1:16" ht="16.5" customHeight="1" thickBot="1">
      <c r="A47" s="120" t="str">
        <f>'Fase Final Absolut'!D35</f>
        <v>Pau Palau</v>
      </c>
      <c r="B47" s="121"/>
      <c r="C47" s="121"/>
      <c r="D47" s="121"/>
      <c r="E47" s="121"/>
      <c r="F47" s="122"/>
      <c r="G47" s="119"/>
      <c r="J47" s="123" t="str">
        <f>'Fase Final Absolut'!D67</f>
        <v>Joel Parramon</v>
      </c>
      <c r="K47" s="121"/>
      <c r="L47" s="121"/>
      <c r="M47" s="121"/>
      <c r="N47" s="121"/>
      <c r="O47" s="122"/>
      <c r="P47" s="119"/>
    </row>
    <row r="48" spans="1:16" ht="16.5" customHeight="1">
      <c r="A48" s="192" t="s">
        <v>265</v>
      </c>
      <c r="B48" s="272" t="str">
        <f>'Fase Final Absolut'!D34</f>
        <v>Eduard Viladegut</v>
      </c>
      <c r="C48" s="273"/>
      <c r="D48" s="273"/>
      <c r="E48" s="273"/>
      <c r="F48" s="273"/>
      <c r="G48" s="188"/>
      <c r="J48" s="192" t="s">
        <v>265</v>
      </c>
      <c r="K48" s="272" t="str">
        <f>'Fase Final Absolut'!D66</f>
        <v>Roger Rubió</v>
      </c>
      <c r="L48" s="273"/>
      <c r="M48" s="273"/>
      <c r="N48" s="273"/>
      <c r="O48" s="273"/>
      <c r="P48" s="188"/>
    </row>
    <row r="49" ht="7.5" customHeight="1"/>
    <row r="50" spans="1:17" ht="7.5" customHeight="1" thickBot="1">
      <c r="A50" s="124"/>
      <c r="B50" s="124"/>
      <c r="C50" s="124"/>
      <c r="D50" s="124"/>
      <c r="E50" s="124"/>
      <c r="F50" s="124"/>
      <c r="G50" s="125"/>
      <c r="H50" s="124"/>
      <c r="I50" s="124"/>
      <c r="J50" s="126"/>
      <c r="K50" s="124"/>
      <c r="L50" s="124"/>
      <c r="M50" s="124"/>
      <c r="N50" s="124"/>
      <c r="O50" s="124"/>
      <c r="P50" s="125"/>
      <c r="Q50" s="124"/>
    </row>
    <row r="51" spans="1:16" ht="16.5" customHeight="1" thickBot="1">
      <c r="A51" s="274" t="s">
        <v>67</v>
      </c>
      <c r="B51" s="274"/>
      <c r="C51" s="274"/>
      <c r="E51" s="120" t="s">
        <v>14</v>
      </c>
      <c r="G51" s="117"/>
      <c r="J51" s="274" t="s">
        <v>67</v>
      </c>
      <c r="K51" s="274"/>
      <c r="L51" s="274"/>
      <c r="N51" s="120" t="s">
        <v>14</v>
      </c>
      <c r="P51" s="117"/>
    </row>
    <row r="52" spans="7:16" ht="16.5" customHeight="1" thickBot="1">
      <c r="G52" s="116" t="s">
        <v>65</v>
      </c>
      <c r="P52" s="116" t="s">
        <v>65</v>
      </c>
    </row>
    <row r="53" spans="1:16" ht="16.5" customHeight="1">
      <c r="A53" s="120" t="str">
        <f>'Fase Final Absolut'!D37</f>
        <v>Aleix Farrero</v>
      </c>
      <c r="B53" s="121"/>
      <c r="C53" s="121"/>
      <c r="D53" s="121"/>
      <c r="E53" s="121"/>
      <c r="F53" s="122"/>
      <c r="G53" s="118"/>
      <c r="J53" s="123" t="str">
        <f>'Fase Final Absolut'!D69</f>
        <v>Joan Palau</v>
      </c>
      <c r="K53" s="121"/>
      <c r="L53" s="121"/>
      <c r="M53" s="121"/>
      <c r="N53" s="121"/>
      <c r="O53" s="122"/>
      <c r="P53" s="118"/>
    </row>
    <row r="54" spans="1:16" ht="16.5" customHeight="1" thickBot="1">
      <c r="A54" s="120">
        <f>'Fase Final Absolut'!D39</f>
      </c>
      <c r="B54" s="121"/>
      <c r="C54" s="121"/>
      <c r="D54" s="121"/>
      <c r="E54" s="121"/>
      <c r="F54" s="122"/>
      <c r="G54" s="119"/>
      <c r="J54" s="123">
        <f>'Fase Final Absolut'!D71</f>
      </c>
      <c r="K54" s="121"/>
      <c r="L54" s="121"/>
      <c r="M54" s="121"/>
      <c r="N54" s="121"/>
      <c r="O54" s="122"/>
      <c r="P54" s="119"/>
    </row>
    <row r="55" spans="1:16" ht="16.5" customHeight="1">
      <c r="A55" s="192" t="s">
        <v>265</v>
      </c>
      <c r="B55" s="272" t="str">
        <f>'Fase Final Absolut'!D38</f>
        <v>Guillem Sans</v>
      </c>
      <c r="C55" s="273"/>
      <c r="D55" s="273"/>
      <c r="E55" s="273"/>
      <c r="F55" s="273"/>
      <c r="G55" s="188"/>
      <c r="J55" s="192" t="s">
        <v>265</v>
      </c>
      <c r="K55" s="272" t="str">
        <f>'Fase Final Absolut'!D70</f>
        <v>2n. Grup 25</v>
      </c>
      <c r="L55" s="273"/>
      <c r="M55" s="273"/>
      <c r="N55" s="273"/>
      <c r="O55" s="273"/>
      <c r="P55" s="188"/>
    </row>
  </sheetData>
  <sheetProtection/>
  <mergeCells count="32">
    <mergeCell ref="K20:O20"/>
    <mergeCell ref="K27:O27"/>
    <mergeCell ref="K34:O34"/>
    <mergeCell ref="K41:O41"/>
    <mergeCell ref="K48:O48"/>
    <mergeCell ref="K55:O55"/>
    <mergeCell ref="J44:L44"/>
    <mergeCell ref="J51:L51"/>
    <mergeCell ref="J23:L23"/>
    <mergeCell ref="J30:L30"/>
    <mergeCell ref="B48:F48"/>
    <mergeCell ref="B55:F55"/>
    <mergeCell ref="A44:C44"/>
    <mergeCell ref="A51:C51"/>
    <mergeCell ref="A23:C23"/>
    <mergeCell ref="A30:C30"/>
    <mergeCell ref="B6:F6"/>
    <mergeCell ref="B13:F13"/>
    <mergeCell ref="B20:F20"/>
    <mergeCell ref="B27:F27"/>
    <mergeCell ref="B34:F34"/>
    <mergeCell ref="B41:F41"/>
    <mergeCell ref="K6:O6"/>
    <mergeCell ref="K13:O13"/>
    <mergeCell ref="A37:C37"/>
    <mergeCell ref="J37:L37"/>
    <mergeCell ref="A2:C2"/>
    <mergeCell ref="J2:L2"/>
    <mergeCell ref="A9:C9"/>
    <mergeCell ref="J9:L9"/>
    <mergeCell ref="A16:C16"/>
    <mergeCell ref="J16:L1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55"/>
  <sheetViews>
    <sheetView zoomScale="130" zoomScaleNormal="130" zoomScalePageLayoutView="0" workbookViewId="0" topLeftCell="A1">
      <selection activeCell="A1" sqref="A1:P55"/>
    </sheetView>
  </sheetViews>
  <sheetFormatPr defaultColWidth="11.421875" defaultRowHeight="16.5" customHeight="1"/>
  <cols>
    <col min="1" max="1" width="25.140625" style="120" customWidth="1"/>
    <col min="2" max="6" width="5.140625" style="120" customWidth="1"/>
    <col min="7" max="7" width="11.421875" style="116" customWidth="1"/>
    <col min="8" max="8" width="11.421875" style="120" customWidth="1"/>
    <col min="9" max="9" width="1.421875" style="120" customWidth="1"/>
    <col min="10" max="10" width="25.28125" style="123" customWidth="1"/>
    <col min="11" max="15" width="5.140625" style="120" customWidth="1"/>
    <col min="16" max="16" width="11.421875" style="116" customWidth="1"/>
    <col min="17" max="16384" width="11.421875" style="120" customWidth="1"/>
  </cols>
  <sheetData>
    <row r="1" ht="16.5" customHeight="1" thickBot="1"/>
    <row r="2" spans="1:16" ht="16.5" customHeight="1" thickBot="1">
      <c r="A2" s="274" t="s">
        <v>68</v>
      </c>
      <c r="B2" s="274"/>
      <c r="C2" s="274"/>
      <c r="E2" s="120" t="s">
        <v>14</v>
      </c>
      <c r="G2" s="117"/>
      <c r="J2" s="274" t="s">
        <v>68</v>
      </c>
      <c r="K2" s="274"/>
      <c r="L2" s="274"/>
      <c r="N2" s="120" t="s">
        <v>14</v>
      </c>
      <c r="P2" s="117"/>
    </row>
    <row r="3" spans="7:16" ht="16.5" customHeight="1" thickBot="1">
      <c r="G3" s="116" t="s">
        <v>65</v>
      </c>
      <c r="P3" s="116" t="s">
        <v>65</v>
      </c>
    </row>
    <row r="4" spans="1:16" ht="16.5" customHeight="1">
      <c r="A4" s="120" t="str">
        <f>'Fase Final Absolut'!G10</f>
        <v>Arnau Ferre</v>
      </c>
      <c r="B4" s="121"/>
      <c r="C4" s="121"/>
      <c r="D4" s="121"/>
      <c r="E4" s="121"/>
      <c r="F4" s="122"/>
      <c r="G4" s="118"/>
      <c r="J4" s="123" t="str">
        <f>'Fase Final Absolut'!G42</f>
        <v>Pol Patau</v>
      </c>
      <c r="K4" s="121"/>
      <c r="L4" s="121"/>
      <c r="M4" s="121"/>
      <c r="N4" s="121"/>
      <c r="O4" s="122"/>
      <c r="P4" s="118"/>
    </row>
    <row r="5" spans="1:16" ht="16.5" customHeight="1" thickBot="1">
      <c r="A5" s="120" t="str">
        <f>'Fase Final Absolut'!G12</f>
        <v>Pau Vendrell</v>
      </c>
      <c r="B5" s="189"/>
      <c r="C5" s="189"/>
      <c r="D5" s="189"/>
      <c r="E5" s="189"/>
      <c r="F5" s="190"/>
      <c r="G5" s="119"/>
      <c r="J5" s="123" t="str">
        <f>'Fase Final Absolut'!G44</f>
        <v>Pere Porta</v>
      </c>
      <c r="K5" s="121"/>
      <c r="L5" s="121"/>
      <c r="M5" s="121"/>
      <c r="N5" s="121"/>
      <c r="O5" s="122"/>
      <c r="P5" s="119"/>
    </row>
    <row r="6" spans="1:16" ht="16.5" customHeight="1">
      <c r="A6" s="192" t="s">
        <v>265</v>
      </c>
      <c r="B6" s="272">
        <f>'Fase Final Absolut'!G11</f>
      </c>
      <c r="C6" s="273"/>
      <c r="D6" s="273"/>
      <c r="E6" s="273"/>
      <c r="F6" s="273"/>
      <c r="G6" s="188"/>
      <c r="J6" s="192" t="s">
        <v>265</v>
      </c>
      <c r="K6" s="272">
        <f>'Fase Final Absolut'!G43</f>
      </c>
      <c r="L6" s="273"/>
      <c r="M6" s="273"/>
      <c r="N6" s="273"/>
      <c r="O6" s="273"/>
      <c r="P6" s="188"/>
    </row>
    <row r="7" ht="7.5" customHeight="1">
      <c r="F7" s="191"/>
    </row>
    <row r="8" spans="1:17" ht="7.5" customHeight="1" thickBot="1">
      <c r="A8" s="124"/>
      <c r="B8" s="124"/>
      <c r="C8" s="124"/>
      <c r="D8" s="124"/>
      <c r="E8" s="124"/>
      <c r="F8" s="124"/>
      <c r="G8" s="125"/>
      <c r="H8" s="124"/>
      <c r="I8" s="124"/>
      <c r="J8" s="126"/>
      <c r="K8" s="124"/>
      <c r="L8" s="124"/>
      <c r="M8" s="124"/>
      <c r="N8" s="124"/>
      <c r="O8" s="124"/>
      <c r="P8" s="125"/>
      <c r="Q8" s="124"/>
    </row>
    <row r="9" spans="1:16" ht="16.5" customHeight="1" thickBot="1">
      <c r="A9" s="274" t="s">
        <v>262</v>
      </c>
      <c r="B9" s="274"/>
      <c r="C9" s="274"/>
      <c r="E9" s="120" t="s">
        <v>14</v>
      </c>
      <c r="G9" s="117"/>
      <c r="J9" s="274" t="s">
        <v>68</v>
      </c>
      <c r="K9" s="274"/>
      <c r="L9" s="274"/>
      <c r="N9" s="120" t="s">
        <v>14</v>
      </c>
      <c r="P9" s="117"/>
    </row>
    <row r="10" spans="7:16" ht="16.5" customHeight="1" thickBot="1">
      <c r="G10" s="116" t="s">
        <v>65</v>
      </c>
      <c r="P10" s="116" t="s">
        <v>65</v>
      </c>
    </row>
    <row r="11" spans="1:16" ht="16.5" customHeight="1">
      <c r="A11" s="120" t="str">
        <f>'Fase Final Absolut'!G14</f>
        <v>Gerard Buenache</v>
      </c>
      <c r="B11" s="121"/>
      <c r="C11" s="121"/>
      <c r="D11" s="121"/>
      <c r="E11" s="121"/>
      <c r="F11" s="122"/>
      <c r="G11" s="118"/>
      <c r="J11" s="123" t="str">
        <f>'Fase Final Absolut'!G46</f>
        <v>Josep Monforte</v>
      </c>
      <c r="K11" s="121"/>
      <c r="L11" s="121"/>
      <c r="M11" s="121"/>
      <c r="N11" s="121"/>
      <c r="O11" s="122"/>
      <c r="P11" s="118"/>
    </row>
    <row r="12" spans="1:16" ht="16.5" customHeight="1" thickBot="1">
      <c r="A12" s="120" t="str">
        <f>'Fase Final Absolut'!G16</f>
        <v>Lluís Torné</v>
      </c>
      <c r="B12" s="121"/>
      <c r="C12" s="121"/>
      <c r="D12" s="121"/>
      <c r="E12" s="121"/>
      <c r="F12" s="122"/>
      <c r="G12" s="119"/>
      <c r="J12" s="123" t="str">
        <f>'Fase Final Absolut'!G48</f>
        <v>David Arregui</v>
      </c>
      <c r="K12" s="121"/>
      <c r="L12" s="121"/>
      <c r="M12" s="121"/>
      <c r="N12" s="121"/>
      <c r="O12" s="122"/>
      <c r="P12" s="119"/>
    </row>
    <row r="13" spans="1:16" ht="16.5" customHeight="1">
      <c r="A13" s="192" t="s">
        <v>265</v>
      </c>
      <c r="B13" s="272" t="str">
        <f>'Fase Final Absolut'!G15</f>
        <v>Àngel Garcia</v>
      </c>
      <c r="C13" s="273"/>
      <c r="D13" s="273"/>
      <c r="E13" s="273"/>
      <c r="F13" s="273"/>
      <c r="G13" s="188"/>
      <c r="J13" s="192" t="s">
        <v>265</v>
      </c>
      <c r="K13" s="272" t="str">
        <f>'Fase Final Absolut'!G47</f>
        <v>Carlos Canós</v>
      </c>
      <c r="L13" s="273"/>
      <c r="M13" s="273"/>
      <c r="N13" s="273"/>
      <c r="O13" s="273"/>
      <c r="P13" s="188"/>
    </row>
    <row r="14" ht="7.5" customHeight="1"/>
    <row r="15" spans="1:17" ht="7.5" customHeight="1" thickBot="1">
      <c r="A15" s="124"/>
      <c r="B15" s="124"/>
      <c r="C15" s="124"/>
      <c r="D15" s="124"/>
      <c r="E15" s="124"/>
      <c r="F15" s="124"/>
      <c r="G15" s="125"/>
      <c r="H15" s="124"/>
      <c r="I15" s="124"/>
      <c r="J15" s="126"/>
      <c r="K15" s="124"/>
      <c r="L15" s="124"/>
      <c r="M15" s="124"/>
      <c r="N15" s="124"/>
      <c r="O15" s="124"/>
      <c r="P15" s="125"/>
      <c r="Q15" s="124"/>
    </row>
    <row r="16" spans="1:16" ht="16.5" customHeight="1" thickBot="1">
      <c r="A16" s="274" t="s">
        <v>68</v>
      </c>
      <c r="B16" s="274"/>
      <c r="C16" s="274"/>
      <c r="E16" s="120" t="s">
        <v>14</v>
      </c>
      <c r="G16" s="117"/>
      <c r="J16" s="274" t="s">
        <v>68</v>
      </c>
      <c r="K16" s="274"/>
      <c r="L16" s="274"/>
      <c r="N16" s="120" t="s">
        <v>14</v>
      </c>
      <c r="P16" s="117"/>
    </row>
    <row r="17" spans="7:16" ht="16.5" customHeight="1" thickBot="1">
      <c r="G17" s="116" t="s">
        <v>65</v>
      </c>
      <c r="P17" s="116" t="s">
        <v>65</v>
      </c>
    </row>
    <row r="18" spans="1:16" ht="16.5" customHeight="1">
      <c r="A18" s="120" t="str">
        <f>'Fase Final Absolut'!G18</f>
        <v>Jordi Ros</v>
      </c>
      <c r="B18" s="121"/>
      <c r="C18" s="121"/>
      <c r="D18" s="121"/>
      <c r="E18" s="121"/>
      <c r="F18" s="122"/>
      <c r="G18" s="118"/>
      <c r="J18" s="123" t="str">
        <f>'Fase Final Absolut'!G50</f>
        <v>Marc Sancho</v>
      </c>
      <c r="K18" s="121"/>
      <c r="L18" s="121"/>
      <c r="M18" s="121"/>
      <c r="N18" s="121"/>
      <c r="O18" s="122"/>
      <c r="P18" s="118"/>
    </row>
    <row r="19" spans="1:16" ht="16.5" customHeight="1" thickBot="1">
      <c r="A19" s="120" t="str">
        <f>'Fase Final Absolut'!G20</f>
        <v>Carlos Chaves</v>
      </c>
      <c r="B19" s="121"/>
      <c r="C19" s="121"/>
      <c r="D19" s="121"/>
      <c r="E19" s="121"/>
      <c r="F19" s="122"/>
      <c r="G19" s="119"/>
      <c r="J19" s="123" t="str">
        <f>'Fase Final Absolut'!G52</f>
        <v>Guillem Arbiol</v>
      </c>
      <c r="K19" s="121"/>
      <c r="L19" s="121"/>
      <c r="M19" s="121"/>
      <c r="N19" s="121"/>
      <c r="O19" s="122"/>
      <c r="P19" s="119"/>
    </row>
    <row r="20" spans="1:16" ht="16.5" customHeight="1">
      <c r="A20" s="192" t="s">
        <v>265</v>
      </c>
      <c r="B20" s="272" t="str">
        <f>'Fase Final Absolut'!G19</f>
        <v>Ricard Boncompte</v>
      </c>
      <c r="C20" s="273"/>
      <c r="D20" s="273"/>
      <c r="E20" s="273"/>
      <c r="F20" s="273"/>
      <c r="G20" s="188"/>
      <c r="J20" s="192" t="s">
        <v>265</v>
      </c>
      <c r="K20" s="272" t="str">
        <f>'Fase Final Absolut'!G51</f>
        <v>Miquel  Salat</v>
      </c>
      <c r="L20" s="273"/>
      <c r="M20" s="273"/>
      <c r="N20" s="273"/>
      <c r="O20" s="273"/>
      <c r="P20" s="188"/>
    </row>
    <row r="21" ht="7.5" customHeight="1"/>
    <row r="22" spans="1:17" ht="7.5" customHeight="1" thickBot="1">
      <c r="A22" s="124"/>
      <c r="B22" s="124"/>
      <c r="C22" s="124"/>
      <c r="D22" s="124"/>
      <c r="E22" s="124"/>
      <c r="F22" s="124"/>
      <c r="G22" s="125"/>
      <c r="H22" s="124"/>
      <c r="I22" s="124"/>
      <c r="J22" s="126"/>
      <c r="K22" s="124"/>
      <c r="L22" s="124"/>
      <c r="M22" s="124"/>
      <c r="N22" s="124"/>
      <c r="O22" s="124"/>
      <c r="P22" s="125"/>
      <c r="Q22" s="124"/>
    </row>
    <row r="23" spans="1:16" ht="16.5" customHeight="1" thickBot="1">
      <c r="A23" s="274" t="s">
        <v>68</v>
      </c>
      <c r="B23" s="274"/>
      <c r="C23" s="274"/>
      <c r="E23" s="120" t="s">
        <v>14</v>
      </c>
      <c r="G23" s="117"/>
      <c r="J23" s="274" t="s">
        <v>68</v>
      </c>
      <c r="K23" s="274"/>
      <c r="L23" s="274"/>
      <c r="N23" s="120" t="s">
        <v>14</v>
      </c>
      <c r="P23" s="117"/>
    </row>
    <row r="24" spans="7:16" ht="16.5" customHeight="1" thickBot="1">
      <c r="G24" s="116" t="s">
        <v>65</v>
      </c>
      <c r="P24" s="116" t="s">
        <v>65</v>
      </c>
    </row>
    <row r="25" spans="1:16" ht="16.5" customHeight="1">
      <c r="A25" s="120" t="str">
        <f>'Fase Final Absolut'!G22</f>
        <v>Joan Ramon Macià</v>
      </c>
      <c r="B25" s="121"/>
      <c r="C25" s="121"/>
      <c r="D25" s="121"/>
      <c r="E25" s="121"/>
      <c r="F25" s="122"/>
      <c r="G25" s="118"/>
      <c r="J25" s="123" t="str">
        <f>'Fase Final Absolut'!G54</f>
        <v>Victor Cayuela</v>
      </c>
      <c r="K25" s="121"/>
      <c r="L25" s="121"/>
      <c r="M25" s="121"/>
      <c r="N25" s="121"/>
      <c r="O25" s="122"/>
      <c r="P25" s="118"/>
    </row>
    <row r="26" spans="1:16" ht="16.5" customHeight="1" thickBot="1">
      <c r="A26" s="120" t="str">
        <f>'Fase Final Absolut'!G24</f>
        <v>Dimitri Bus</v>
      </c>
      <c r="B26" s="121"/>
      <c r="C26" s="121"/>
      <c r="D26" s="121"/>
      <c r="E26" s="121"/>
      <c r="F26" s="122"/>
      <c r="G26" s="119"/>
      <c r="J26" s="123" t="str">
        <f>'Fase Final Absolut'!G56</f>
        <v>Marc Molina</v>
      </c>
      <c r="K26" s="121"/>
      <c r="L26" s="121"/>
      <c r="M26" s="121"/>
      <c r="N26" s="121"/>
      <c r="O26" s="122"/>
      <c r="P26" s="119"/>
    </row>
    <row r="27" spans="1:16" ht="16.5" customHeight="1">
      <c r="A27" s="192" t="s">
        <v>265</v>
      </c>
      <c r="B27" s="272" t="str">
        <f>'Fase Final Absolut'!G23</f>
        <v>Toni Sánchez</v>
      </c>
      <c r="C27" s="273"/>
      <c r="D27" s="273"/>
      <c r="E27" s="273"/>
      <c r="F27" s="273"/>
      <c r="G27" s="188"/>
      <c r="J27" s="192" t="s">
        <v>265</v>
      </c>
      <c r="K27" s="272">
        <f>'Fase Final Absolut'!G55</f>
      </c>
      <c r="L27" s="273"/>
      <c r="M27" s="273"/>
      <c r="N27" s="273"/>
      <c r="O27" s="273"/>
      <c r="P27" s="188"/>
    </row>
    <row r="28" ht="7.5" customHeight="1"/>
    <row r="29" spans="1:17" ht="7.5" customHeight="1" thickBot="1">
      <c r="A29" s="124"/>
      <c r="B29" s="124"/>
      <c r="C29" s="124"/>
      <c r="D29" s="124"/>
      <c r="E29" s="124"/>
      <c r="F29" s="124"/>
      <c r="G29" s="125"/>
      <c r="H29" s="124"/>
      <c r="I29" s="124"/>
      <c r="J29" s="126"/>
      <c r="K29" s="124"/>
      <c r="L29" s="124"/>
      <c r="M29" s="124"/>
      <c r="N29" s="124"/>
      <c r="O29" s="124"/>
      <c r="P29" s="125"/>
      <c r="Q29" s="124"/>
    </row>
    <row r="30" spans="1:16" ht="16.5" customHeight="1" thickBot="1">
      <c r="A30" s="274" t="s">
        <v>68</v>
      </c>
      <c r="B30" s="274"/>
      <c r="C30" s="274"/>
      <c r="E30" s="120" t="s">
        <v>14</v>
      </c>
      <c r="G30" s="117"/>
      <c r="J30" s="274" t="s">
        <v>68</v>
      </c>
      <c r="K30" s="274"/>
      <c r="L30" s="274"/>
      <c r="N30" s="120" t="s">
        <v>14</v>
      </c>
      <c r="P30" s="117"/>
    </row>
    <row r="31" spans="7:16" ht="16.5" customHeight="1" thickBot="1">
      <c r="G31" s="116" t="s">
        <v>65</v>
      </c>
      <c r="P31" s="116" t="s">
        <v>65</v>
      </c>
    </row>
    <row r="32" spans="1:16" ht="16.5" customHeight="1">
      <c r="A32" s="120" t="str">
        <f>'Fase Final Absolut'!G26</f>
        <v>Ferran Tudela</v>
      </c>
      <c r="B32" s="121"/>
      <c r="C32" s="121"/>
      <c r="D32" s="121"/>
      <c r="E32" s="121"/>
      <c r="F32" s="122"/>
      <c r="G32" s="118"/>
      <c r="J32" s="123" t="str">
        <f>'Fase Final Absolut'!G58</f>
        <v>Joel Roselló</v>
      </c>
      <c r="K32" s="121"/>
      <c r="L32" s="121"/>
      <c r="M32" s="121"/>
      <c r="N32" s="121"/>
      <c r="O32" s="122"/>
      <c r="P32" s="118"/>
    </row>
    <row r="33" spans="1:16" ht="16.5" customHeight="1" thickBot="1">
      <c r="A33" s="120" t="str">
        <f>'Fase Final Absolut'!G28</f>
        <v>Carles Gallart</v>
      </c>
      <c r="B33" s="121"/>
      <c r="C33" s="121"/>
      <c r="D33" s="121"/>
      <c r="E33" s="121"/>
      <c r="F33" s="122"/>
      <c r="G33" s="119"/>
      <c r="J33" s="123" t="str">
        <f>'Fase Final Absolut'!G60</f>
        <v>Agustí Sanz</v>
      </c>
      <c r="K33" s="121"/>
      <c r="L33" s="121"/>
      <c r="M33" s="121"/>
      <c r="N33" s="121"/>
      <c r="O33" s="122"/>
      <c r="P33" s="119"/>
    </row>
    <row r="34" spans="1:16" ht="16.5" customHeight="1">
      <c r="A34" s="192" t="s">
        <v>265</v>
      </c>
      <c r="B34" s="272">
        <f>'Fase Final Absolut'!G27</f>
      </c>
      <c r="C34" s="273"/>
      <c r="D34" s="273"/>
      <c r="E34" s="273"/>
      <c r="F34" s="273"/>
      <c r="G34" s="188"/>
      <c r="J34" s="192" t="s">
        <v>265</v>
      </c>
      <c r="K34" s="272" t="str">
        <f>'Fase Final Absolut'!G59</f>
        <v>Albert Marquillas</v>
      </c>
      <c r="L34" s="273"/>
      <c r="M34" s="273"/>
      <c r="N34" s="273"/>
      <c r="O34" s="273"/>
      <c r="P34" s="188"/>
    </row>
    <row r="35" ht="7.5" customHeight="1"/>
    <row r="36" spans="1:17" ht="7.5" customHeight="1" thickBot="1">
      <c r="A36" s="124"/>
      <c r="B36" s="124"/>
      <c r="C36" s="124"/>
      <c r="D36" s="124"/>
      <c r="E36" s="124"/>
      <c r="F36" s="124"/>
      <c r="G36" s="125"/>
      <c r="H36" s="124"/>
      <c r="I36" s="124"/>
      <c r="J36" s="126"/>
      <c r="K36" s="124"/>
      <c r="L36" s="124"/>
      <c r="M36" s="124"/>
      <c r="N36" s="124"/>
      <c r="O36" s="124"/>
      <c r="P36" s="125"/>
      <c r="Q36" s="124"/>
    </row>
    <row r="37" spans="1:16" ht="16.5" customHeight="1" thickBot="1">
      <c r="A37" s="274" t="s">
        <v>68</v>
      </c>
      <c r="B37" s="274"/>
      <c r="C37" s="274"/>
      <c r="E37" s="120" t="s">
        <v>14</v>
      </c>
      <c r="G37" s="117"/>
      <c r="J37" s="274" t="s">
        <v>68</v>
      </c>
      <c r="K37" s="274"/>
      <c r="L37" s="274"/>
      <c r="N37" s="120" t="s">
        <v>14</v>
      </c>
      <c r="P37" s="117"/>
    </row>
    <row r="38" spans="7:16" ht="16.5" customHeight="1" thickBot="1">
      <c r="G38" s="116" t="s">
        <v>65</v>
      </c>
      <c r="P38" s="116" t="s">
        <v>65</v>
      </c>
    </row>
    <row r="39" spans="1:16" ht="16.5" customHeight="1">
      <c r="A39" s="120" t="str">
        <f>'Fase Final Absolut'!G30</f>
        <v>Gerard Bernadó</v>
      </c>
      <c r="B39" s="121"/>
      <c r="C39" s="121"/>
      <c r="D39" s="121"/>
      <c r="E39" s="121"/>
      <c r="F39" s="122"/>
      <c r="G39" s="118"/>
      <c r="J39" s="123" t="str">
        <f>'Fase Final Absolut'!G62</f>
        <v>Jordi Rodriguez</v>
      </c>
      <c r="K39" s="121"/>
      <c r="L39" s="121"/>
      <c r="M39" s="121"/>
      <c r="N39" s="121"/>
      <c r="O39" s="122"/>
      <c r="P39" s="118"/>
    </row>
    <row r="40" spans="1:16" ht="16.5" customHeight="1" thickBot="1">
      <c r="A40" s="120" t="str">
        <f>'Fase Final Absolut'!G32</f>
        <v>Eduard Viladegut</v>
      </c>
      <c r="B40" s="121"/>
      <c r="C40" s="121"/>
      <c r="D40" s="121"/>
      <c r="E40" s="121"/>
      <c r="F40" s="122"/>
      <c r="G40" s="119"/>
      <c r="J40" s="123" t="str">
        <f>'Fase Final Absolut'!G64</f>
        <v>Roger Rubió</v>
      </c>
      <c r="K40" s="121"/>
      <c r="L40" s="121"/>
      <c r="M40" s="121"/>
      <c r="N40" s="121"/>
      <c r="O40" s="122"/>
      <c r="P40" s="119"/>
    </row>
    <row r="41" spans="1:16" ht="16.5" customHeight="1">
      <c r="A41" s="192" t="s">
        <v>265</v>
      </c>
      <c r="B41" s="272" t="str">
        <f>'Fase Final Absolut'!G31</f>
        <v>Josep Perelló</v>
      </c>
      <c r="C41" s="273"/>
      <c r="D41" s="273"/>
      <c r="E41" s="273"/>
      <c r="F41" s="273"/>
      <c r="G41" s="188"/>
      <c r="J41" s="192" t="s">
        <v>265</v>
      </c>
      <c r="K41" s="272" t="str">
        <f>'Fase Final Absolut'!G63</f>
        <v>Salvador Berenguer</v>
      </c>
      <c r="L41" s="273"/>
      <c r="M41" s="273"/>
      <c r="N41" s="273"/>
      <c r="O41" s="273"/>
      <c r="P41" s="188"/>
    </row>
    <row r="42" ht="7.5" customHeight="1"/>
    <row r="43" spans="1:17" ht="7.5" customHeight="1" thickBot="1">
      <c r="A43" s="124"/>
      <c r="B43" s="124"/>
      <c r="C43" s="124"/>
      <c r="D43" s="124"/>
      <c r="E43" s="124"/>
      <c r="F43" s="124"/>
      <c r="G43" s="125"/>
      <c r="H43" s="124"/>
      <c r="I43" s="124"/>
      <c r="J43" s="126"/>
      <c r="K43" s="124"/>
      <c r="L43" s="124"/>
      <c r="M43" s="124"/>
      <c r="N43" s="124"/>
      <c r="O43" s="124"/>
      <c r="P43" s="125"/>
      <c r="Q43" s="124"/>
    </row>
    <row r="44" spans="1:16" ht="16.5" customHeight="1" thickBot="1">
      <c r="A44" s="274" t="s">
        <v>68</v>
      </c>
      <c r="B44" s="274"/>
      <c r="C44" s="274"/>
      <c r="E44" s="120" t="s">
        <v>14</v>
      </c>
      <c r="G44" s="117"/>
      <c r="J44" s="274" t="s">
        <v>68</v>
      </c>
      <c r="K44" s="274"/>
      <c r="L44" s="274"/>
      <c r="N44" s="120" t="s">
        <v>14</v>
      </c>
      <c r="P44" s="117"/>
    </row>
    <row r="45" spans="7:16" ht="16.5" customHeight="1" thickBot="1">
      <c r="G45" s="116" t="s">
        <v>65</v>
      </c>
      <c r="P45" s="116" t="s">
        <v>65</v>
      </c>
    </row>
    <row r="46" spans="1:16" ht="16.5" customHeight="1">
      <c r="A46" s="120" t="str">
        <f>'Fase Final Absolut'!G34</f>
        <v>Pau Palau</v>
      </c>
      <c r="B46" s="121"/>
      <c r="C46" s="121"/>
      <c r="D46" s="121"/>
      <c r="E46" s="121"/>
      <c r="F46" s="122"/>
      <c r="G46" s="118"/>
      <c r="J46" s="123" t="str">
        <f>'Fase Final Absolut'!G66</f>
        <v>Sebastian Lech</v>
      </c>
      <c r="K46" s="121"/>
      <c r="L46" s="121"/>
      <c r="M46" s="121"/>
      <c r="N46" s="121"/>
      <c r="O46" s="122"/>
      <c r="P46" s="118"/>
    </row>
    <row r="47" spans="1:16" ht="16.5" customHeight="1" thickBot="1">
      <c r="A47" s="120" t="str">
        <f>'Fase Final Absolut'!G36</f>
        <v>Guillem Sans</v>
      </c>
      <c r="B47" s="121"/>
      <c r="C47" s="121"/>
      <c r="D47" s="121"/>
      <c r="E47" s="121"/>
      <c r="F47" s="122"/>
      <c r="G47" s="119"/>
      <c r="J47" s="123" t="str">
        <f>'Fase Final Absolut'!G68</f>
        <v>Francesc Solans</v>
      </c>
      <c r="K47" s="121"/>
      <c r="L47" s="121"/>
      <c r="M47" s="121"/>
      <c r="N47" s="121"/>
      <c r="O47" s="122"/>
      <c r="P47" s="119"/>
    </row>
    <row r="48" spans="1:16" ht="16.5" customHeight="1">
      <c r="A48" s="192" t="s">
        <v>265</v>
      </c>
      <c r="B48" s="272" t="str">
        <f>'Fase Final Absolut'!G35</f>
        <v>Xavier Farré</v>
      </c>
      <c r="C48" s="273"/>
      <c r="D48" s="273"/>
      <c r="E48" s="273"/>
      <c r="F48" s="273"/>
      <c r="G48" s="188"/>
      <c r="J48" s="192" t="s">
        <v>265</v>
      </c>
      <c r="K48" s="272" t="str">
        <f>'Fase Final Absolut'!G67</f>
        <v>Joel Parramon</v>
      </c>
      <c r="L48" s="273"/>
      <c r="M48" s="273"/>
      <c r="N48" s="273"/>
      <c r="O48" s="273"/>
      <c r="P48" s="188"/>
    </row>
    <row r="49" ht="7.5" customHeight="1"/>
    <row r="50" spans="1:17" ht="7.5" customHeight="1" thickBot="1">
      <c r="A50" s="124"/>
      <c r="B50" s="124"/>
      <c r="C50" s="124"/>
      <c r="D50" s="124"/>
      <c r="E50" s="124"/>
      <c r="F50" s="124"/>
      <c r="G50" s="125"/>
      <c r="H50" s="124"/>
      <c r="I50" s="124"/>
      <c r="J50" s="126"/>
      <c r="K50" s="124"/>
      <c r="L50" s="124"/>
      <c r="M50" s="124"/>
      <c r="N50" s="124"/>
      <c r="O50" s="124"/>
      <c r="P50" s="125"/>
      <c r="Q50" s="124"/>
    </row>
    <row r="51" spans="1:16" ht="16.5" customHeight="1" thickBot="1">
      <c r="A51" s="274" t="s">
        <v>68</v>
      </c>
      <c r="B51" s="274"/>
      <c r="C51" s="274"/>
      <c r="E51" s="120" t="s">
        <v>14</v>
      </c>
      <c r="G51" s="117"/>
      <c r="J51" s="274" t="s">
        <v>68</v>
      </c>
      <c r="K51" s="274"/>
      <c r="L51" s="274"/>
      <c r="N51" s="120" t="s">
        <v>14</v>
      </c>
      <c r="P51" s="117"/>
    </row>
    <row r="52" spans="7:16" ht="16.5" customHeight="1" thickBot="1">
      <c r="G52" s="116" t="s">
        <v>65</v>
      </c>
      <c r="P52" s="116" t="s">
        <v>65</v>
      </c>
    </row>
    <row r="53" spans="1:16" ht="16.5" customHeight="1">
      <c r="A53" s="120" t="str">
        <f>'Fase Final Absolut'!G38</f>
        <v>Aleix Farrero</v>
      </c>
      <c r="B53" s="121"/>
      <c r="C53" s="121"/>
      <c r="D53" s="121"/>
      <c r="E53" s="121"/>
      <c r="F53" s="122"/>
      <c r="G53" s="118"/>
      <c r="J53" s="123" t="str">
        <f>'Fase Final Absolut'!G70</f>
        <v>Joan Palau</v>
      </c>
      <c r="K53" s="121"/>
      <c r="L53" s="121"/>
      <c r="M53" s="121"/>
      <c r="N53" s="121"/>
      <c r="O53" s="122"/>
      <c r="P53" s="118"/>
    </row>
    <row r="54" spans="1:16" ht="16.5" customHeight="1" thickBot="1">
      <c r="A54" s="120" t="str">
        <f>'Fase Final Absolut'!G40</f>
        <v>Arnau Calvet</v>
      </c>
      <c r="B54" s="121"/>
      <c r="C54" s="121"/>
      <c r="D54" s="121"/>
      <c r="E54" s="121"/>
      <c r="F54" s="122"/>
      <c r="G54" s="119"/>
      <c r="J54" s="123" t="str">
        <f>'Fase Final Absolut'!G72</f>
        <v>Guillem Almacellas</v>
      </c>
      <c r="K54" s="121"/>
      <c r="L54" s="121"/>
      <c r="M54" s="121"/>
      <c r="N54" s="121"/>
      <c r="O54" s="122"/>
      <c r="P54" s="119"/>
    </row>
    <row r="55" spans="1:16" ht="16.5" customHeight="1">
      <c r="A55" s="192" t="s">
        <v>265</v>
      </c>
      <c r="B55" s="272">
        <f>'Fase Final Absolut'!G39</f>
      </c>
      <c r="C55" s="273"/>
      <c r="D55" s="273"/>
      <c r="E55" s="273"/>
      <c r="F55" s="273"/>
      <c r="G55" s="188"/>
      <c r="J55" s="192" t="s">
        <v>265</v>
      </c>
      <c r="K55" s="272">
        <f>'Fase Final Absolut'!G71</f>
      </c>
      <c r="L55" s="273"/>
      <c r="M55" s="273"/>
      <c r="N55" s="273"/>
      <c r="O55" s="273"/>
      <c r="P55" s="188"/>
    </row>
  </sheetData>
  <sheetProtection/>
  <mergeCells count="32">
    <mergeCell ref="B48:F48"/>
    <mergeCell ref="K48:O48"/>
    <mergeCell ref="B55:F55"/>
    <mergeCell ref="K55:O55"/>
    <mergeCell ref="A51:C51"/>
    <mergeCell ref="J51:L51"/>
    <mergeCell ref="A30:C30"/>
    <mergeCell ref="B27:F27"/>
    <mergeCell ref="K27:O27"/>
    <mergeCell ref="B34:F34"/>
    <mergeCell ref="K34:O34"/>
    <mergeCell ref="J30:L30"/>
    <mergeCell ref="A37:C37"/>
    <mergeCell ref="J37:L37"/>
    <mergeCell ref="B41:F41"/>
    <mergeCell ref="J16:L16"/>
    <mergeCell ref="B6:F6"/>
    <mergeCell ref="K13:O13"/>
    <mergeCell ref="B20:F20"/>
    <mergeCell ref="K20:O20"/>
    <mergeCell ref="A23:C23"/>
    <mergeCell ref="J23:L23"/>
    <mergeCell ref="A2:C2"/>
    <mergeCell ref="J2:L2"/>
    <mergeCell ref="A9:C9"/>
    <mergeCell ref="J9:L9"/>
    <mergeCell ref="A16:C16"/>
    <mergeCell ref="A44:C44"/>
    <mergeCell ref="J44:L44"/>
    <mergeCell ref="K41:O41"/>
    <mergeCell ref="K6:O6"/>
    <mergeCell ref="B13:F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55"/>
  <sheetViews>
    <sheetView zoomScale="130" zoomScaleNormal="130" zoomScalePageLayoutView="0" workbookViewId="0" topLeftCell="A36">
      <selection activeCell="A54" sqref="A54"/>
    </sheetView>
  </sheetViews>
  <sheetFormatPr defaultColWidth="11.421875" defaultRowHeight="16.5" customHeight="1"/>
  <cols>
    <col min="1" max="1" width="25.140625" style="120" customWidth="1"/>
    <col min="2" max="6" width="5.140625" style="120" customWidth="1"/>
    <col min="7" max="7" width="11.421875" style="116" customWidth="1"/>
    <col min="8" max="8" width="11.421875" style="120" customWidth="1"/>
    <col min="9" max="9" width="1.421875" style="120" customWidth="1"/>
    <col min="10" max="10" width="25.28125" style="123" customWidth="1"/>
    <col min="11" max="15" width="5.140625" style="120" customWidth="1"/>
    <col min="16" max="16" width="11.421875" style="116" customWidth="1"/>
    <col min="17" max="16384" width="11.421875" style="120" customWidth="1"/>
  </cols>
  <sheetData>
    <row r="1" ht="16.5" customHeight="1" thickBot="1"/>
    <row r="2" spans="1:16" ht="16.5" customHeight="1" thickBot="1">
      <c r="A2" s="274" t="s">
        <v>69</v>
      </c>
      <c r="B2" s="274"/>
      <c r="C2" s="274"/>
      <c r="E2" s="120" t="s">
        <v>14</v>
      </c>
      <c r="G2" s="117"/>
      <c r="J2" s="274" t="s">
        <v>69</v>
      </c>
      <c r="K2" s="274"/>
      <c r="L2" s="274"/>
      <c r="N2" s="120" t="s">
        <v>14</v>
      </c>
      <c r="P2" s="117"/>
    </row>
    <row r="3" spans="7:16" ht="16.5" customHeight="1" thickBot="1">
      <c r="G3" s="116" t="s">
        <v>65</v>
      </c>
      <c r="P3" s="116" t="s">
        <v>65</v>
      </c>
    </row>
    <row r="4" spans="1:16" ht="16.5" customHeight="1">
      <c r="A4" s="120" t="str">
        <f>'Fase Final Absolut'!J9</f>
        <v>Jordi Latorre</v>
      </c>
      <c r="B4" s="121"/>
      <c r="C4" s="121"/>
      <c r="D4" s="121"/>
      <c r="E4" s="121"/>
      <c r="F4" s="122"/>
      <c r="G4" s="118"/>
      <c r="J4" s="123" t="str">
        <f>'Fase Final Absolut'!J41</f>
        <v>Ricard Gomez</v>
      </c>
      <c r="K4" s="121"/>
      <c r="L4" s="121"/>
      <c r="M4" s="121"/>
      <c r="N4" s="121"/>
      <c r="O4" s="122"/>
      <c r="P4" s="118"/>
    </row>
    <row r="5" spans="1:16" ht="16.5" customHeight="1" thickBot="1">
      <c r="A5" s="120" t="str">
        <f>'Fase Final Absolut'!J11</f>
        <v>Arnau Ferre</v>
      </c>
      <c r="B5" s="121"/>
      <c r="C5" s="121"/>
      <c r="D5" s="121"/>
      <c r="E5" s="121"/>
      <c r="F5" s="122"/>
      <c r="G5" s="119"/>
      <c r="J5" s="123" t="str">
        <f>'Fase Final Absolut'!J43</f>
        <v>Pol Patau</v>
      </c>
      <c r="K5" s="121"/>
      <c r="L5" s="121"/>
      <c r="M5" s="121"/>
      <c r="N5" s="121"/>
      <c r="O5" s="122"/>
      <c r="P5" s="119"/>
    </row>
    <row r="6" spans="1:16" ht="16.5" customHeight="1">
      <c r="A6" s="192" t="s">
        <v>265</v>
      </c>
      <c r="B6" s="272" t="str">
        <f>'Fase Final Absolut'!J10</f>
        <v>Pau Vendrell</v>
      </c>
      <c r="C6" s="273"/>
      <c r="D6" s="273"/>
      <c r="E6" s="273"/>
      <c r="F6" s="273"/>
      <c r="G6" s="188"/>
      <c r="J6" s="192" t="s">
        <v>265</v>
      </c>
      <c r="K6" s="272" t="str">
        <f>'Fase Final Absolut'!J42</f>
        <v>Pere Porta</v>
      </c>
      <c r="L6" s="273"/>
      <c r="M6" s="273"/>
      <c r="N6" s="273"/>
      <c r="O6" s="273"/>
      <c r="P6" s="188"/>
    </row>
    <row r="7" ht="7.5" customHeight="1"/>
    <row r="8" spans="1:17" ht="7.5" customHeight="1" thickBot="1">
      <c r="A8" s="124"/>
      <c r="B8" s="124"/>
      <c r="C8" s="124"/>
      <c r="D8" s="124"/>
      <c r="E8" s="124"/>
      <c r="F8" s="124"/>
      <c r="G8" s="125"/>
      <c r="H8" s="124"/>
      <c r="I8" s="124"/>
      <c r="J8" s="126"/>
      <c r="K8" s="124"/>
      <c r="L8" s="124"/>
      <c r="M8" s="124"/>
      <c r="N8" s="124"/>
      <c r="O8" s="124"/>
      <c r="P8" s="125"/>
      <c r="Q8" s="124"/>
    </row>
    <row r="9" spans="1:16" ht="16.5" customHeight="1" thickBot="1">
      <c r="A9" s="274" t="s">
        <v>69</v>
      </c>
      <c r="B9" s="274"/>
      <c r="C9" s="274"/>
      <c r="E9" s="120" t="s">
        <v>14</v>
      </c>
      <c r="G9" s="117"/>
      <c r="J9" s="274" t="s">
        <v>69</v>
      </c>
      <c r="K9" s="274"/>
      <c r="L9" s="274"/>
      <c r="N9" s="120" t="s">
        <v>14</v>
      </c>
      <c r="P9" s="117"/>
    </row>
    <row r="10" spans="7:16" ht="16.5" customHeight="1" thickBot="1">
      <c r="G10" s="116" t="s">
        <v>65</v>
      </c>
      <c r="P10" s="116" t="s">
        <v>65</v>
      </c>
    </row>
    <row r="11" spans="1:16" ht="16.5" customHeight="1">
      <c r="A11" s="120" t="str">
        <f>'Fase Final Absolut'!J13</f>
        <v>Alex Carrera</v>
      </c>
      <c r="B11" s="121"/>
      <c r="C11" s="121"/>
      <c r="D11" s="121"/>
      <c r="E11" s="121"/>
      <c r="F11" s="122"/>
      <c r="G11" s="118"/>
      <c r="J11" s="123" t="str">
        <f>'Fase Final Absolut'!J45</f>
        <v>Jordi Fontanet</v>
      </c>
      <c r="K11" s="121"/>
      <c r="L11" s="121"/>
      <c r="M11" s="121"/>
      <c r="N11" s="121"/>
      <c r="O11" s="122"/>
      <c r="P11" s="118"/>
    </row>
    <row r="12" spans="1:16" ht="16.5" customHeight="1" thickBot="1">
      <c r="A12" s="120" t="str">
        <f>'Fase Final Absolut'!J15</f>
        <v>Lluís Torné</v>
      </c>
      <c r="B12" s="121"/>
      <c r="C12" s="121"/>
      <c r="D12" s="121"/>
      <c r="E12" s="121"/>
      <c r="F12" s="122"/>
      <c r="G12" s="119"/>
      <c r="J12" s="123" t="str">
        <f>'Fase Final Absolut'!J47</f>
        <v>Josep Monforte</v>
      </c>
      <c r="K12" s="121"/>
      <c r="L12" s="121"/>
      <c r="M12" s="121"/>
      <c r="N12" s="121"/>
      <c r="O12" s="122"/>
      <c r="P12" s="119"/>
    </row>
    <row r="13" spans="1:16" ht="16.5" customHeight="1">
      <c r="A13" s="192" t="s">
        <v>265</v>
      </c>
      <c r="B13" s="272" t="str">
        <f>'Fase Final Absolut'!J14</f>
        <v>Gerard Buenache</v>
      </c>
      <c r="C13" s="273"/>
      <c r="D13" s="273"/>
      <c r="E13" s="273"/>
      <c r="F13" s="273"/>
      <c r="G13" s="188"/>
      <c r="J13" s="192" t="s">
        <v>265</v>
      </c>
      <c r="K13" s="272" t="str">
        <f>'Fase Final Absolut'!J46</f>
        <v>David Arregui</v>
      </c>
      <c r="L13" s="273"/>
      <c r="M13" s="273"/>
      <c r="N13" s="273"/>
      <c r="O13" s="273"/>
      <c r="P13" s="188"/>
    </row>
    <row r="14" ht="7.5" customHeight="1"/>
    <row r="15" spans="1:17" ht="7.5" customHeight="1" thickBot="1">
      <c r="A15" s="124"/>
      <c r="B15" s="124"/>
      <c r="C15" s="124"/>
      <c r="D15" s="124"/>
      <c r="E15" s="124"/>
      <c r="F15" s="124"/>
      <c r="G15" s="125"/>
      <c r="H15" s="124"/>
      <c r="I15" s="124"/>
      <c r="J15" s="126"/>
      <c r="K15" s="124"/>
      <c r="L15" s="124"/>
      <c r="M15" s="124"/>
      <c r="N15" s="124"/>
      <c r="O15" s="124"/>
      <c r="P15" s="125"/>
      <c r="Q15" s="124"/>
    </row>
    <row r="16" spans="1:16" ht="16.5" customHeight="1" thickBot="1">
      <c r="A16" s="274" t="s">
        <v>69</v>
      </c>
      <c r="B16" s="274"/>
      <c r="C16" s="274"/>
      <c r="E16" s="120" t="s">
        <v>14</v>
      </c>
      <c r="G16" s="117"/>
      <c r="J16" s="274" t="s">
        <v>69</v>
      </c>
      <c r="K16" s="274"/>
      <c r="L16" s="274"/>
      <c r="N16" s="120" t="s">
        <v>14</v>
      </c>
      <c r="P16" s="117"/>
    </row>
    <row r="17" spans="7:16" ht="16.5" customHeight="1" thickBot="1">
      <c r="G17" s="116" t="s">
        <v>65</v>
      </c>
      <c r="P17" s="116" t="s">
        <v>65</v>
      </c>
    </row>
    <row r="18" spans="1:16" ht="16.5" customHeight="1">
      <c r="A18" s="120" t="str">
        <f>'Fase Final Absolut'!J17</f>
        <v>Victor Camí</v>
      </c>
      <c r="B18" s="121"/>
      <c r="C18" s="121"/>
      <c r="D18" s="121"/>
      <c r="E18" s="121"/>
      <c r="F18" s="122"/>
      <c r="G18" s="118"/>
      <c r="J18" s="123" t="str">
        <f>'Fase Final Absolut'!J49</f>
        <v>Ramon Macià</v>
      </c>
      <c r="K18" s="121"/>
      <c r="L18" s="121"/>
      <c r="M18" s="121"/>
      <c r="N18" s="121"/>
      <c r="O18" s="122"/>
      <c r="P18" s="118"/>
    </row>
    <row r="19" spans="1:16" ht="16.5" customHeight="1" thickBot="1">
      <c r="A19" s="120" t="str">
        <f>'Fase Final Absolut'!J19</f>
        <v>Jordi Ros</v>
      </c>
      <c r="B19" s="121"/>
      <c r="C19" s="121"/>
      <c r="D19" s="121"/>
      <c r="E19" s="121"/>
      <c r="F19" s="122"/>
      <c r="G19" s="119"/>
      <c r="J19" s="123" t="str">
        <f>'Fase Final Absolut'!J51</f>
        <v>Marc Sancho</v>
      </c>
      <c r="K19" s="121"/>
      <c r="L19" s="121"/>
      <c r="M19" s="121"/>
      <c r="N19" s="121"/>
      <c r="O19" s="122"/>
      <c r="P19" s="119"/>
    </row>
    <row r="20" spans="1:16" ht="16.5" customHeight="1">
      <c r="A20" s="192" t="s">
        <v>265</v>
      </c>
      <c r="B20" s="272" t="str">
        <f>'Fase Final Absolut'!J18</f>
        <v>Carlos Chaves</v>
      </c>
      <c r="C20" s="273"/>
      <c r="D20" s="273"/>
      <c r="E20" s="273"/>
      <c r="F20" s="273"/>
      <c r="G20" s="188"/>
      <c r="J20" s="192" t="s">
        <v>265</v>
      </c>
      <c r="K20" s="272" t="str">
        <f>'Fase Final Absolut'!J50</f>
        <v>Guillem Arbiol</v>
      </c>
      <c r="L20" s="273"/>
      <c r="M20" s="273"/>
      <c r="N20" s="273"/>
      <c r="O20" s="273"/>
      <c r="P20" s="188"/>
    </row>
    <row r="21" ht="7.5" customHeight="1"/>
    <row r="22" spans="1:17" ht="7.5" customHeight="1" thickBot="1">
      <c r="A22" s="124"/>
      <c r="B22" s="124"/>
      <c r="C22" s="124"/>
      <c r="D22" s="124"/>
      <c r="E22" s="124"/>
      <c r="F22" s="124"/>
      <c r="G22" s="125"/>
      <c r="H22" s="124"/>
      <c r="I22" s="124"/>
      <c r="J22" s="126"/>
      <c r="K22" s="124"/>
      <c r="L22" s="124"/>
      <c r="M22" s="124"/>
      <c r="N22" s="124"/>
      <c r="O22" s="124"/>
      <c r="P22" s="125"/>
      <c r="Q22" s="124"/>
    </row>
    <row r="23" spans="1:16" ht="16.5" customHeight="1" thickBot="1">
      <c r="A23" s="274" t="s">
        <v>69</v>
      </c>
      <c r="B23" s="274"/>
      <c r="C23" s="274"/>
      <c r="E23" s="120" t="s">
        <v>14</v>
      </c>
      <c r="G23" s="117"/>
      <c r="J23" s="274" t="s">
        <v>69</v>
      </c>
      <c r="K23" s="274"/>
      <c r="L23" s="274"/>
      <c r="N23" s="120" t="s">
        <v>14</v>
      </c>
      <c r="P23" s="117"/>
    </row>
    <row r="24" spans="7:16" ht="16.5" customHeight="1" thickBot="1">
      <c r="G24" s="116" t="s">
        <v>65</v>
      </c>
      <c r="P24" s="116" t="s">
        <v>65</v>
      </c>
    </row>
    <row r="25" spans="1:16" ht="16.5" customHeight="1">
      <c r="A25" s="120" t="str">
        <f>'Fase Final Absolut'!J21</f>
        <v>Cristian  Fernandez</v>
      </c>
      <c r="B25" s="121"/>
      <c r="C25" s="121"/>
      <c r="D25" s="121"/>
      <c r="E25" s="121"/>
      <c r="F25" s="122"/>
      <c r="G25" s="118"/>
      <c r="J25" s="123" t="str">
        <f>'Fase Final Absolut'!J53</f>
        <v>Ivan Fernandez</v>
      </c>
      <c r="K25" s="121"/>
      <c r="L25" s="121"/>
      <c r="M25" s="121"/>
      <c r="N25" s="121"/>
      <c r="O25" s="122"/>
      <c r="P25" s="118"/>
    </row>
    <row r="26" spans="1:16" ht="16.5" customHeight="1" thickBot="1">
      <c r="A26" s="120" t="str">
        <f>'Fase Final Absolut'!J23</f>
        <v>Joan Ramon Macià</v>
      </c>
      <c r="B26" s="121"/>
      <c r="C26" s="121"/>
      <c r="D26" s="121"/>
      <c r="E26" s="121"/>
      <c r="F26" s="122"/>
      <c r="G26" s="119"/>
      <c r="J26" s="123" t="str">
        <f>'Fase Final Absolut'!J55</f>
        <v>Marc Molina</v>
      </c>
      <c r="K26" s="121"/>
      <c r="L26" s="121"/>
      <c r="M26" s="121"/>
      <c r="N26" s="121"/>
      <c r="O26" s="122"/>
      <c r="P26" s="119"/>
    </row>
    <row r="27" spans="1:16" ht="16.5" customHeight="1">
      <c r="A27" s="192" t="s">
        <v>265</v>
      </c>
      <c r="B27" s="272" t="str">
        <f>'Fase Final Absolut'!J22</f>
        <v>Dimitri Bus</v>
      </c>
      <c r="C27" s="273"/>
      <c r="D27" s="273"/>
      <c r="E27" s="273"/>
      <c r="F27" s="273"/>
      <c r="G27" s="188"/>
      <c r="J27" s="192" t="s">
        <v>265</v>
      </c>
      <c r="K27" s="272" t="str">
        <f>'Fase Final Absolut'!J54</f>
        <v>Victor Cayuela</v>
      </c>
      <c r="L27" s="273"/>
      <c r="M27" s="273"/>
      <c r="N27" s="273"/>
      <c r="O27" s="273"/>
      <c r="P27" s="188"/>
    </row>
    <row r="28" ht="7.5" customHeight="1"/>
    <row r="29" spans="1:17" ht="7.5" customHeight="1" thickBot="1">
      <c r="A29" s="124"/>
      <c r="B29" s="124"/>
      <c r="C29" s="124"/>
      <c r="D29" s="124"/>
      <c r="E29" s="124"/>
      <c r="F29" s="124"/>
      <c r="G29" s="125"/>
      <c r="H29" s="124"/>
      <c r="I29" s="124"/>
      <c r="J29" s="126"/>
      <c r="K29" s="124"/>
      <c r="L29" s="124"/>
      <c r="M29" s="124"/>
      <c r="N29" s="124"/>
      <c r="O29" s="124"/>
      <c r="P29" s="125"/>
      <c r="Q29" s="124"/>
    </row>
    <row r="30" spans="1:16" ht="16.5" customHeight="1" thickBot="1">
      <c r="A30" s="274" t="s">
        <v>69</v>
      </c>
      <c r="B30" s="274"/>
      <c r="C30" s="274"/>
      <c r="E30" s="120" t="s">
        <v>14</v>
      </c>
      <c r="G30" s="117"/>
      <c r="J30" s="274" t="s">
        <v>69</v>
      </c>
      <c r="K30" s="274"/>
      <c r="L30" s="274"/>
      <c r="N30" s="120" t="s">
        <v>14</v>
      </c>
      <c r="P30" s="117"/>
    </row>
    <row r="31" spans="7:16" ht="16.5" customHeight="1" thickBot="1">
      <c r="G31" s="116" t="s">
        <v>65</v>
      </c>
      <c r="P31" s="116" t="s">
        <v>65</v>
      </c>
    </row>
    <row r="32" spans="1:16" ht="16.5" customHeight="1">
      <c r="A32" s="120" t="str">
        <f>'Fase Final Absolut'!J25</f>
        <v>Patrick Rodriguez</v>
      </c>
      <c r="B32" s="121"/>
      <c r="C32" s="121"/>
      <c r="D32" s="121"/>
      <c r="E32" s="121"/>
      <c r="F32" s="122"/>
      <c r="G32" s="118"/>
      <c r="J32" s="123" t="str">
        <f>'Fase Final Absolut'!J57</f>
        <v>Manel Martinez</v>
      </c>
      <c r="K32" s="121"/>
      <c r="L32" s="121"/>
      <c r="M32" s="121"/>
      <c r="N32" s="121"/>
      <c r="O32" s="122"/>
      <c r="P32" s="118"/>
    </row>
    <row r="33" spans="1:16" ht="16.5" customHeight="1" thickBot="1">
      <c r="A33" s="120" t="str">
        <f>'Fase Final Absolut'!J27</f>
        <v>Ferran Tudela</v>
      </c>
      <c r="B33" s="121"/>
      <c r="C33" s="121"/>
      <c r="D33" s="121"/>
      <c r="E33" s="121"/>
      <c r="F33" s="122"/>
      <c r="G33" s="119"/>
      <c r="J33" s="123" t="str">
        <f>'Fase Final Absolut'!J59</f>
        <v>Agustí Sanz</v>
      </c>
      <c r="K33" s="121"/>
      <c r="L33" s="121"/>
      <c r="M33" s="121"/>
      <c r="N33" s="121"/>
      <c r="O33" s="122"/>
      <c r="P33" s="119"/>
    </row>
    <row r="34" spans="1:16" ht="16.5" customHeight="1">
      <c r="A34" s="192" t="s">
        <v>265</v>
      </c>
      <c r="B34" s="272" t="str">
        <f>'Fase Final Absolut'!J26</f>
        <v>Carles Gallart</v>
      </c>
      <c r="C34" s="273"/>
      <c r="D34" s="273"/>
      <c r="E34" s="273"/>
      <c r="F34" s="273"/>
      <c r="G34" s="188"/>
      <c r="J34" s="192" t="s">
        <v>265</v>
      </c>
      <c r="K34" s="272" t="str">
        <f>'Fase Final Absolut'!J58</f>
        <v>Joel Roselló</v>
      </c>
      <c r="L34" s="273"/>
      <c r="M34" s="273"/>
      <c r="N34" s="273"/>
      <c r="O34" s="273"/>
      <c r="P34" s="188"/>
    </row>
    <row r="35" ht="7.5" customHeight="1"/>
    <row r="36" spans="1:17" ht="7.5" customHeight="1" thickBot="1">
      <c r="A36" s="124"/>
      <c r="B36" s="124"/>
      <c r="C36" s="124"/>
      <c r="D36" s="124"/>
      <c r="E36" s="124"/>
      <c r="F36" s="124"/>
      <c r="G36" s="125"/>
      <c r="H36" s="124"/>
      <c r="I36" s="124"/>
      <c r="J36" s="126"/>
      <c r="K36" s="124"/>
      <c r="L36" s="124"/>
      <c r="M36" s="124"/>
      <c r="N36" s="124"/>
      <c r="O36" s="124"/>
      <c r="P36" s="125"/>
      <c r="Q36" s="124"/>
    </row>
    <row r="37" spans="1:16" ht="16.5" customHeight="1" thickBot="1">
      <c r="A37" s="274" t="s">
        <v>69</v>
      </c>
      <c r="B37" s="274"/>
      <c r="C37" s="274"/>
      <c r="E37" s="120" t="s">
        <v>14</v>
      </c>
      <c r="G37" s="117"/>
      <c r="J37" s="274" t="s">
        <v>69</v>
      </c>
      <c r="K37" s="274"/>
      <c r="L37" s="274"/>
      <c r="N37" s="120" t="s">
        <v>14</v>
      </c>
      <c r="P37" s="117"/>
    </row>
    <row r="38" spans="7:16" ht="16.5" customHeight="1" thickBot="1">
      <c r="G38" s="116" t="s">
        <v>65</v>
      </c>
      <c r="P38" s="116" t="s">
        <v>65</v>
      </c>
    </row>
    <row r="39" spans="1:16" ht="16.5" customHeight="1">
      <c r="A39" s="120" t="str">
        <f>'Fase Final Absolut'!J29</f>
        <v>Albert Ribera</v>
      </c>
      <c r="B39" s="121"/>
      <c r="C39" s="121"/>
      <c r="D39" s="121"/>
      <c r="E39" s="121"/>
      <c r="F39" s="122"/>
      <c r="G39" s="118"/>
      <c r="J39" s="123" t="str">
        <f>'Fase Final Absolut'!J61</f>
        <v>Carles Margalida</v>
      </c>
      <c r="K39" s="121"/>
      <c r="L39" s="121"/>
      <c r="M39" s="121"/>
      <c r="N39" s="121"/>
      <c r="O39" s="122"/>
      <c r="P39" s="118"/>
    </row>
    <row r="40" spans="1:16" ht="16.5" customHeight="1" thickBot="1">
      <c r="A40" s="120" t="str">
        <f>'Fase Final Absolut'!J31</f>
        <v>Eduard Viladegut</v>
      </c>
      <c r="B40" s="121"/>
      <c r="C40" s="121"/>
      <c r="D40" s="121"/>
      <c r="E40" s="121"/>
      <c r="F40" s="122"/>
      <c r="G40" s="119"/>
      <c r="J40" s="123" t="str">
        <f>'Fase Final Absolut'!J63</f>
        <v>Jordi Rodriguez</v>
      </c>
      <c r="K40" s="121"/>
      <c r="L40" s="121"/>
      <c r="M40" s="121"/>
      <c r="N40" s="121"/>
      <c r="O40" s="122"/>
      <c r="P40" s="119"/>
    </row>
    <row r="41" spans="1:16" ht="16.5" customHeight="1">
      <c r="A41" s="192" t="s">
        <v>265</v>
      </c>
      <c r="B41" s="272" t="str">
        <f>'Fase Final Absolut'!J30</f>
        <v>Gerard Bernadó</v>
      </c>
      <c r="C41" s="273"/>
      <c r="D41" s="273"/>
      <c r="E41" s="273"/>
      <c r="F41" s="273"/>
      <c r="G41" s="188"/>
      <c r="J41" s="192" t="s">
        <v>265</v>
      </c>
      <c r="K41" s="272" t="str">
        <f>'Fase Final Absolut'!J62</f>
        <v>Roger Rubió</v>
      </c>
      <c r="L41" s="273"/>
      <c r="M41" s="273"/>
      <c r="N41" s="273"/>
      <c r="O41" s="273"/>
      <c r="P41" s="188"/>
    </row>
    <row r="42" ht="7.5" customHeight="1"/>
    <row r="43" spans="1:17" ht="7.5" customHeight="1" thickBot="1">
      <c r="A43" s="124"/>
      <c r="B43" s="124"/>
      <c r="C43" s="124"/>
      <c r="D43" s="124"/>
      <c r="E43" s="124"/>
      <c r="F43" s="124"/>
      <c r="G43" s="125"/>
      <c r="H43" s="124"/>
      <c r="I43" s="124"/>
      <c r="J43" s="126"/>
      <c r="K43" s="124"/>
      <c r="L43" s="124"/>
      <c r="M43" s="124"/>
      <c r="N43" s="124"/>
      <c r="O43" s="124"/>
      <c r="P43" s="125"/>
      <c r="Q43" s="124"/>
    </row>
    <row r="44" spans="1:16" ht="16.5" customHeight="1" thickBot="1">
      <c r="A44" s="274" t="s">
        <v>69</v>
      </c>
      <c r="B44" s="274"/>
      <c r="C44" s="274"/>
      <c r="E44" s="120" t="s">
        <v>14</v>
      </c>
      <c r="G44" s="117"/>
      <c r="J44" s="274" t="s">
        <v>69</v>
      </c>
      <c r="K44" s="274"/>
      <c r="L44" s="274"/>
      <c r="N44" s="120" t="s">
        <v>14</v>
      </c>
      <c r="P44" s="117"/>
    </row>
    <row r="45" spans="7:16" ht="16.5" customHeight="1" thickBot="1">
      <c r="G45" s="116" t="s">
        <v>65</v>
      </c>
      <c r="P45" s="116" t="s">
        <v>65</v>
      </c>
    </row>
    <row r="46" spans="1:16" ht="16.5" customHeight="1">
      <c r="A46" s="120" t="str">
        <f>'Fase Final Absolut'!J33</f>
        <v>Albert Feliu</v>
      </c>
      <c r="B46" s="121"/>
      <c r="C46" s="121"/>
      <c r="D46" s="121"/>
      <c r="E46" s="121"/>
      <c r="F46" s="122"/>
      <c r="G46" s="118"/>
      <c r="J46" s="123" t="str">
        <f>'Fase Final Absolut'!J65</f>
        <v>David Subirà</v>
      </c>
      <c r="K46" s="121"/>
      <c r="L46" s="121"/>
      <c r="M46" s="121"/>
      <c r="N46" s="121"/>
      <c r="O46" s="122"/>
      <c r="P46" s="118"/>
    </row>
    <row r="47" spans="1:16" ht="16.5" customHeight="1" thickBot="1">
      <c r="A47" s="120" t="str">
        <f>'Fase Final Absolut'!J35</f>
        <v>Pau Palau</v>
      </c>
      <c r="B47" s="121"/>
      <c r="C47" s="121"/>
      <c r="D47" s="121"/>
      <c r="E47" s="121"/>
      <c r="F47" s="122"/>
      <c r="G47" s="119"/>
      <c r="J47" s="123" t="str">
        <f>'Fase Final Absolut'!J67</f>
        <v>Francesc Solans</v>
      </c>
      <c r="K47" s="121"/>
      <c r="L47" s="121"/>
      <c r="M47" s="121"/>
      <c r="N47" s="121"/>
      <c r="O47" s="122"/>
      <c r="P47" s="119"/>
    </row>
    <row r="48" spans="1:16" ht="16.5" customHeight="1">
      <c r="A48" s="192" t="s">
        <v>265</v>
      </c>
      <c r="B48" s="272" t="str">
        <f>'Fase Final Absolut'!J34</f>
        <v>Guillem Sans</v>
      </c>
      <c r="C48" s="273"/>
      <c r="D48" s="273"/>
      <c r="E48" s="273"/>
      <c r="F48" s="273"/>
      <c r="G48" s="188"/>
      <c r="J48" s="192" t="s">
        <v>265</v>
      </c>
      <c r="K48" s="272" t="str">
        <f>'Fase Final Absolut'!J66</f>
        <v>Sebastian Lech</v>
      </c>
      <c r="L48" s="273"/>
      <c r="M48" s="273"/>
      <c r="N48" s="273"/>
      <c r="O48" s="273"/>
      <c r="P48" s="188"/>
    </row>
    <row r="49" ht="7.5" customHeight="1"/>
    <row r="50" spans="1:17" ht="7.5" customHeight="1" thickBot="1">
      <c r="A50" s="124"/>
      <c r="B50" s="124"/>
      <c r="C50" s="124"/>
      <c r="D50" s="124"/>
      <c r="E50" s="124"/>
      <c r="F50" s="124"/>
      <c r="G50" s="125"/>
      <c r="H50" s="124"/>
      <c r="I50" s="124"/>
      <c r="J50" s="126"/>
      <c r="K50" s="124"/>
      <c r="L50" s="124"/>
      <c r="M50" s="124"/>
      <c r="N50" s="124"/>
      <c r="O50" s="124"/>
      <c r="P50" s="125"/>
      <c r="Q50" s="124"/>
    </row>
    <row r="51" spans="1:16" ht="16.5" customHeight="1" thickBot="1">
      <c r="A51" s="274" t="s">
        <v>69</v>
      </c>
      <c r="B51" s="274"/>
      <c r="C51" s="274"/>
      <c r="E51" s="120" t="s">
        <v>14</v>
      </c>
      <c r="G51" s="117"/>
      <c r="J51" s="274" t="s">
        <v>69</v>
      </c>
      <c r="K51" s="274"/>
      <c r="L51" s="274"/>
      <c r="N51" s="120" t="s">
        <v>14</v>
      </c>
      <c r="P51" s="117"/>
    </row>
    <row r="52" spans="7:16" ht="16.5" customHeight="1" thickBot="1">
      <c r="G52" s="116" t="s">
        <v>65</v>
      </c>
      <c r="P52" s="116" t="s">
        <v>65</v>
      </c>
    </row>
    <row r="53" spans="1:16" ht="16.5" customHeight="1">
      <c r="A53" s="120" t="str">
        <f>'Fase Final Absolut'!J37</f>
        <v>Oriol Mir</v>
      </c>
      <c r="B53" s="121"/>
      <c r="C53" s="121"/>
      <c r="D53" s="121"/>
      <c r="E53" s="121"/>
      <c r="F53" s="122"/>
      <c r="G53" s="118"/>
      <c r="J53" s="123" t="str">
        <f>'Fase Final Absolut'!J69</f>
        <v>David González</v>
      </c>
      <c r="K53" s="121"/>
      <c r="L53" s="121"/>
      <c r="M53" s="121"/>
      <c r="N53" s="121"/>
      <c r="O53" s="122"/>
      <c r="P53" s="118"/>
    </row>
    <row r="54" spans="1:16" ht="16.5" customHeight="1" thickBot="1">
      <c r="A54" s="120" t="str">
        <f>'Fase Final Absolut'!J39</f>
        <v>Arnau Calvet</v>
      </c>
      <c r="B54" s="121"/>
      <c r="C54" s="121"/>
      <c r="D54" s="121"/>
      <c r="E54" s="121"/>
      <c r="F54" s="122"/>
      <c r="G54" s="119"/>
      <c r="J54" s="123" t="str">
        <f>'Fase Final Absolut'!J71</f>
        <v>Joan Palau</v>
      </c>
      <c r="K54" s="121"/>
      <c r="L54" s="121"/>
      <c r="M54" s="121"/>
      <c r="N54" s="121"/>
      <c r="O54" s="122"/>
      <c r="P54" s="119"/>
    </row>
    <row r="55" spans="1:16" ht="16.5" customHeight="1">
      <c r="A55" s="192" t="s">
        <v>265</v>
      </c>
      <c r="B55" s="272" t="str">
        <f>'Fase Final Absolut'!J38</f>
        <v>Aleix Farrero</v>
      </c>
      <c r="C55" s="273"/>
      <c r="D55" s="273"/>
      <c r="E55" s="273"/>
      <c r="F55" s="273"/>
      <c r="G55" s="188"/>
      <c r="J55" s="192" t="s">
        <v>265</v>
      </c>
      <c r="K55" s="272" t="str">
        <f>'Fase Final Absolut'!J70</f>
        <v>Guillem Almacellas</v>
      </c>
      <c r="L55" s="273"/>
      <c r="M55" s="273"/>
      <c r="N55" s="273"/>
      <c r="O55" s="273"/>
      <c r="P55" s="188"/>
    </row>
  </sheetData>
  <sheetProtection/>
  <mergeCells count="32">
    <mergeCell ref="B41:F41"/>
    <mergeCell ref="K41:O41"/>
    <mergeCell ref="B48:F48"/>
    <mergeCell ref="K48:O48"/>
    <mergeCell ref="B55:F55"/>
    <mergeCell ref="K55:O55"/>
    <mergeCell ref="A44:C44"/>
    <mergeCell ref="J44:L44"/>
    <mergeCell ref="A51:C51"/>
    <mergeCell ref="J51:L51"/>
    <mergeCell ref="B34:F34"/>
    <mergeCell ref="K34:O34"/>
    <mergeCell ref="A23:C23"/>
    <mergeCell ref="J23:L23"/>
    <mergeCell ref="A30:C30"/>
    <mergeCell ref="J30:L30"/>
    <mergeCell ref="B20:F20"/>
    <mergeCell ref="K20:O20"/>
    <mergeCell ref="B27:F27"/>
    <mergeCell ref="K27:O27"/>
    <mergeCell ref="B13:F13"/>
    <mergeCell ref="K13:O13"/>
    <mergeCell ref="A37:C37"/>
    <mergeCell ref="J37:L37"/>
    <mergeCell ref="A2:C2"/>
    <mergeCell ref="J2:L2"/>
    <mergeCell ref="A9:C9"/>
    <mergeCell ref="J9:L9"/>
    <mergeCell ref="A16:C16"/>
    <mergeCell ref="J16:L16"/>
    <mergeCell ref="B6:F6"/>
    <mergeCell ref="K6:O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55"/>
  <sheetViews>
    <sheetView tabSelected="1" zoomScale="130" zoomScaleNormal="130" zoomScalePageLayoutView="0" workbookViewId="0" topLeftCell="A1">
      <selection activeCell="I16" sqref="I16"/>
    </sheetView>
  </sheetViews>
  <sheetFormatPr defaultColWidth="11.421875" defaultRowHeight="16.5" customHeight="1"/>
  <cols>
    <col min="1" max="1" width="25.140625" style="120" customWidth="1"/>
    <col min="2" max="6" width="5.140625" style="120" customWidth="1"/>
    <col min="7" max="7" width="11.421875" style="116" customWidth="1"/>
    <col min="8" max="16384" width="11.421875" style="120" customWidth="1"/>
  </cols>
  <sheetData>
    <row r="1" ht="16.5" customHeight="1" thickBot="1"/>
    <row r="2" spans="1:7" ht="16.5" customHeight="1" thickBot="1">
      <c r="A2" s="274" t="s">
        <v>70</v>
      </c>
      <c r="B2" s="274"/>
      <c r="C2" s="274"/>
      <c r="E2" s="120" t="s">
        <v>14</v>
      </c>
      <c r="G2" s="117"/>
    </row>
    <row r="3" ht="16.5" customHeight="1" thickBot="1">
      <c r="G3" s="116" t="s">
        <v>65</v>
      </c>
    </row>
    <row r="4" spans="1:7" ht="16.5" customHeight="1">
      <c r="A4" s="120" t="str">
        <f>'Fase Final Absolut'!M10</f>
        <v>Jordi Latorre</v>
      </c>
      <c r="B4" s="121"/>
      <c r="C4" s="121"/>
      <c r="D4" s="121"/>
      <c r="E4" s="121"/>
      <c r="F4" s="122"/>
      <c r="G4" s="118"/>
    </row>
    <row r="5" spans="1:7" ht="16.5" customHeight="1" thickBot="1">
      <c r="A5" s="120" t="str">
        <f>'Fase Final Absolut'!M14</f>
        <v>Lluís Torné</v>
      </c>
      <c r="B5" s="121"/>
      <c r="C5" s="121"/>
      <c r="D5" s="121"/>
      <c r="E5" s="121"/>
      <c r="F5" s="122"/>
      <c r="G5" s="119"/>
    </row>
    <row r="6" spans="1:7" ht="16.5" customHeight="1">
      <c r="A6" s="192" t="s">
        <v>265</v>
      </c>
      <c r="B6" s="272" t="str">
        <f>'Fase Final Absolut'!M12</f>
        <v>Arnau Ferre</v>
      </c>
      <c r="C6" s="273"/>
      <c r="D6" s="273"/>
      <c r="E6" s="273"/>
      <c r="F6" s="273"/>
      <c r="G6" s="188"/>
    </row>
    <row r="7" ht="7.5" customHeight="1"/>
    <row r="8" spans="1:8" ht="7.5" customHeight="1" thickBot="1">
      <c r="A8" s="124"/>
      <c r="B8" s="124"/>
      <c r="C8" s="124"/>
      <c r="D8" s="124"/>
      <c r="E8" s="124"/>
      <c r="F8" s="124"/>
      <c r="G8" s="125"/>
      <c r="H8" s="124"/>
    </row>
    <row r="9" spans="1:7" ht="16.5" customHeight="1" thickBot="1">
      <c r="A9" s="274" t="s">
        <v>70</v>
      </c>
      <c r="B9" s="274"/>
      <c r="C9" s="274"/>
      <c r="E9" s="120" t="s">
        <v>14</v>
      </c>
      <c r="G9" s="117"/>
    </row>
    <row r="10" ht="16.5" customHeight="1" thickBot="1">
      <c r="G10" s="116" t="s">
        <v>65</v>
      </c>
    </row>
    <row r="11" spans="1:7" ht="16.5" customHeight="1">
      <c r="A11" s="120" t="str">
        <f>'Fase Final Absolut'!M18</f>
        <v>Victor Camí</v>
      </c>
      <c r="B11" s="121"/>
      <c r="C11" s="121"/>
      <c r="D11" s="121"/>
      <c r="E11" s="121"/>
      <c r="F11" s="122"/>
      <c r="G11" s="118"/>
    </row>
    <row r="12" spans="1:7" ht="16.5" customHeight="1" thickBot="1">
      <c r="A12" s="120" t="str">
        <f>'Fase Final Absolut'!M22</f>
        <v>Cristian  Fernandez</v>
      </c>
      <c r="B12" s="121"/>
      <c r="C12" s="121"/>
      <c r="D12" s="121"/>
      <c r="E12" s="121"/>
      <c r="F12" s="122"/>
      <c r="G12" s="119"/>
    </row>
    <row r="13" spans="1:7" ht="16.5" customHeight="1">
      <c r="A13" s="192" t="s">
        <v>265</v>
      </c>
      <c r="B13" s="272" t="str">
        <f>'Fase Final Absolut'!M20</f>
        <v>Jordi Ros</v>
      </c>
      <c r="C13" s="273"/>
      <c r="D13" s="273"/>
      <c r="E13" s="273"/>
      <c r="F13" s="273"/>
      <c r="G13" s="188"/>
    </row>
    <row r="14" ht="7.5" customHeight="1"/>
    <row r="15" spans="1:8" ht="7.5" customHeight="1" thickBot="1">
      <c r="A15" s="124"/>
      <c r="B15" s="124"/>
      <c r="C15" s="124"/>
      <c r="D15" s="124"/>
      <c r="E15" s="124"/>
      <c r="F15" s="124"/>
      <c r="G15" s="125"/>
      <c r="H15" s="124"/>
    </row>
    <row r="16" spans="1:7" ht="16.5" customHeight="1" thickBot="1">
      <c r="A16" s="274" t="s">
        <v>70</v>
      </c>
      <c r="B16" s="274"/>
      <c r="C16" s="274"/>
      <c r="E16" s="120" t="s">
        <v>14</v>
      </c>
      <c r="G16" s="117"/>
    </row>
    <row r="17" ht="16.5" customHeight="1" thickBot="1">
      <c r="G17" s="116" t="s">
        <v>65</v>
      </c>
    </row>
    <row r="18" spans="1:7" ht="16.5" customHeight="1">
      <c r="A18" s="120" t="str">
        <f>'Fase Final Absolut'!M26</f>
        <v>Ferran Tudela</v>
      </c>
      <c r="B18" s="121"/>
      <c r="C18" s="121"/>
      <c r="D18" s="121"/>
      <c r="E18" s="121"/>
      <c r="F18" s="122"/>
      <c r="G18" s="118"/>
    </row>
    <row r="19" spans="1:7" ht="16.5" customHeight="1" thickBot="1">
      <c r="A19" s="120" t="str">
        <f>'Fase Final Absolut'!M30</f>
        <v>Eduard Viladegut</v>
      </c>
      <c r="B19" s="121"/>
      <c r="C19" s="121"/>
      <c r="D19" s="121"/>
      <c r="E19" s="121"/>
      <c r="F19" s="122"/>
      <c r="G19" s="119"/>
    </row>
    <row r="20" spans="1:7" ht="16.5" customHeight="1">
      <c r="A20" s="192" t="s">
        <v>265</v>
      </c>
      <c r="B20" s="272" t="str">
        <f>'Fase Final Absolut'!M28</f>
        <v>Patrick Rodriguez</v>
      </c>
      <c r="C20" s="273"/>
      <c r="D20" s="273"/>
      <c r="E20" s="273"/>
      <c r="F20" s="273"/>
      <c r="G20" s="188"/>
    </row>
    <row r="21" ht="7.5" customHeight="1"/>
    <row r="22" spans="1:8" ht="7.5" customHeight="1" thickBot="1">
      <c r="A22" s="124"/>
      <c r="B22" s="124"/>
      <c r="C22" s="124"/>
      <c r="D22" s="124"/>
      <c r="E22" s="124"/>
      <c r="F22" s="124"/>
      <c r="G22" s="125"/>
      <c r="H22" s="124"/>
    </row>
    <row r="23" spans="1:7" ht="16.5" customHeight="1" thickBot="1">
      <c r="A23" s="274" t="s">
        <v>70</v>
      </c>
      <c r="B23" s="274"/>
      <c r="C23" s="274"/>
      <c r="E23" s="120" t="s">
        <v>14</v>
      </c>
      <c r="G23" s="117"/>
    </row>
    <row r="24" ht="16.5" customHeight="1" thickBot="1">
      <c r="G24" s="116" t="s">
        <v>65</v>
      </c>
    </row>
    <row r="25" spans="1:7" ht="16.5" customHeight="1">
      <c r="A25" s="120" t="str">
        <f>'Fase Final Absolut'!M34</f>
        <v>Albert Feliu</v>
      </c>
      <c r="B25" s="121"/>
      <c r="C25" s="121"/>
      <c r="D25" s="121"/>
      <c r="E25" s="121"/>
      <c r="F25" s="122"/>
      <c r="G25" s="118"/>
    </row>
    <row r="26" spans="1:7" ht="16.5" customHeight="1" thickBot="1">
      <c r="A26" s="120" t="str">
        <f>'Fase Final Absolut'!M38</f>
        <v>Oriol Mir</v>
      </c>
      <c r="B26" s="121"/>
      <c r="C26" s="121"/>
      <c r="D26" s="121"/>
      <c r="E26" s="121"/>
      <c r="F26" s="122"/>
      <c r="G26" s="119"/>
    </row>
    <row r="27" spans="1:7" ht="16.5" customHeight="1">
      <c r="A27" s="192" t="s">
        <v>265</v>
      </c>
      <c r="B27" s="272" t="str">
        <f>'Fase Final Absolut'!M36</f>
        <v>Pau Palau</v>
      </c>
      <c r="C27" s="273"/>
      <c r="D27" s="273"/>
      <c r="E27" s="273"/>
      <c r="F27" s="273"/>
      <c r="G27" s="188"/>
    </row>
    <row r="28" ht="7.5" customHeight="1"/>
    <row r="29" spans="1:8" ht="7.5" customHeight="1" thickBot="1">
      <c r="A29" s="124"/>
      <c r="B29" s="124"/>
      <c r="C29" s="124"/>
      <c r="D29" s="124"/>
      <c r="E29" s="124"/>
      <c r="F29" s="124"/>
      <c r="G29" s="125"/>
      <c r="H29" s="124"/>
    </row>
    <row r="30" spans="1:7" ht="16.5" customHeight="1" thickBot="1">
      <c r="A30" s="274" t="s">
        <v>70</v>
      </c>
      <c r="B30" s="274"/>
      <c r="C30" s="274"/>
      <c r="E30" s="120" t="s">
        <v>14</v>
      </c>
      <c r="G30" s="117"/>
    </row>
    <row r="31" ht="16.5" customHeight="1" thickBot="1">
      <c r="G31" s="116" t="s">
        <v>65</v>
      </c>
    </row>
    <row r="32" spans="1:7" ht="16.5" customHeight="1">
      <c r="A32" s="120" t="str">
        <f>'Fase Final Absolut'!M42</f>
        <v>Ricard Gomez</v>
      </c>
      <c r="B32" s="121"/>
      <c r="C32" s="121"/>
      <c r="D32" s="121"/>
      <c r="E32" s="121"/>
      <c r="F32" s="122"/>
      <c r="G32" s="118"/>
    </row>
    <row r="33" spans="1:7" ht="16.5" customHeight="1" thickBot="1">
      <c r="A33" s="120" t="str">
        <f>'Fase Final Absolut'!M46</f>
        <v>Jordi Fontanet</v>
      </c>
      <c r="B33" s="121"/>
      <c r="C33" s="121"/>
      <c r="D33" s="121"/>
      <c r="E33" s="121"/>
      <c r="F33" s="122"/>
      <c r="G33" s="119"/>
    </row>
    <row r="34" spans="1:7" ht="16.5" customHeight="1">
      <c r="A34" s="192" t="s">
        <v>265</v>
      </c>
      <c r="B34" s="272" t="str">
        <f>'Fase Final Absolut'!M44</f>
        <v>Pol Patau</v>
      </c>
      <c r="C34" s="273"/>
      <c r="D34" s="273"/>
      <c r="E34" s="273"/>
      <c r="F34" s="273"/>
      <c r="G34" s="188"/>
    </row>
    <row r="35" ht="7.5" customHeight="1"/>
    <row r="36" spans="1:8" ht="7.5" customHeight="1" thickBot="1">
      <c r="A36" s="124"/>
      <c r="B36" s="124"/>
      <c r="C36" s="124"/>
      <c r="D36" s="124"/>
      <c r="E36" s="124"/>
      <c r="F36" s="124"/>
      <c r="G36" s="125"/>
      <c r="H36" s="124"/>
    </row>
    <row r="37" spans="1:7" ht="16.5" customHeight="1" thickBot="1">
      <c r="A37" s="274" t="s">
        <v>70</v>
      </c>
      <c r="B37" s="274"/>
      <c r="C37" s="274"/>
      <c r="E37" s="120" t="s">
        <v>14</v>
      </c>
      <c r="G37" s="117"/>
    </row>
    <row r="38" ht="16.5" customHeight="1" thickBot="1">
      <c r="G38" s="116" t="s">
        <v>65</v>
      </c>
    </row>
    <row r="39" spans="1:7" ht="16.5" customHeight="1">
      <c r="A39" s="120" t="str">
        <f>'Fase Final Absolut'!M50</f>
        <v>Marc Sancho</v>
      </c>
      <c r="B39" s="121"/>
      <c r="C39" s="121"/>
      <c r="D39" s="121"/>
      <c r="E39" s="121"/>
      <c r="F39" s="122"/>
      <c r="G39" s="118"/>
    </row>
    <row r="40" spans="1:7" ht="16.5" customHeight="1" thickBot="1">
      <c r="A40" s="120" t="str">
        <f>'Fase Final Absolut'!M54</f>
        <v>Ivan Fernandez</v>
      </c>
      <c r="B40" s="121"/>
      <c r="C40" s="121"/>
      <c r="D40" s="121"/>
      <c r="E40" s="121"/>
      <c r="F40" s="122"/>
      <c r="G40" s="119"/>
    </row>
    <row r="41" spans="1:7" ht="16.5" customHeight="1">
      <c r="A41" s="192" t="s">
        <v>265</v>
      </c>
      <c r="B41" s="272" t="str">
        <f>'Fase Final Absolut'!M52</f>
        <v>Ramon Macià</v>
      </c>
      <c r="C41" s="273"/>
      <c r="D41" s="273"/>
      <c r="E41" s="273"/>
      <c r="F41" s="273"/>
      <c r="G41" s="188"/>
    </row>
    <row r="42" ht="7.5" customHeight="1"/>
    <row r="43" spans="1:8" ht="7.5" customHeight="1" thickBot="1">
      <c r="A43" s="124"/>
      <c r="B43" s="124"/>
      <c r="C43" s="124"/>
      <c r="D43" s="124"/>
      <c r="E43" s="124"/>
      <c r="F43" s="124"/>
      <c r="G43" s="125"/>
      <c r="H43" s="124"/>
    </row>
    <row r="44" spans="1:7" ht="16.5" customHeight="1" thickBot="1">
      <c r="A44" s="274" t="s">
        <v>70</v>
      </c>
      <c r="B44" s="274"/>
      <c r="C44" s="274"/>
      <c r="E44" s="120" t="s">
        <v>14</v>
      </c>
      <c r="G44" s="117"/>
    </row>
    <row r="45" ht="16.5" customHeight="1" thickBot="1">
      <c r="G45" s="116" t="s">
        <v>65</v>
      </c>
    </row>
    <row r="46" spans="1:7" ht="16.5" customHeight="1">
      <c r="A46" s="120" t="str">
        <f>'Fase Final Absolut'!M58</f>
        <v>Manel Martinez</v>
      </c>
      <c r="B46" s="121"/>
      <c r="C46" s="121"/>
      <c r="D46" s="121"/>
      <c r="E46" s="121"/>
      <c r="F46" s="122"/>
      <c r="G46" s="118"/>
    </row>
    <row r="47" spans="1:7" ht="16.5" customHeight="1" thickBot="1">
      <c r="A47" s="120" t="str">
        <f>'Fase Final Absolut'!M62</f>
        <v>Carles Margalida</v>
      </c>
      <c r="B47" s="121"/>
      <c r="C47" s="121"/>
      <c r="D47" s="121"/>
      <c r="E47" s="121"/>
      <c r="F47" s="122"/>
      <c r="G47" s="119"/>
    </row>
    <row r="48" spans="1:7" ht="16.5" customHeight="1">
      <c r="A48" s="192" t="s">
        <v>265</v>
      </c>
      <c r="B48" s="272" t="str">
        <f>'Fase Final Absolut'!M60</f>
        <v>Agustí Sanz</v>
      </c>
      <c r="C48" s="273"/>
      <c r="D48" s="273"/>
      <c r="E48" s="273"/>
      <c r="F48" s="273"/>
      <c r="G48" s="188"/>
    </row>
    <row r="49" ht="7.5" customHeight="1"/>
    <row r="50" spans="1:8" ht="7.5" customHeight="1" thickBot="1">
      <c r="A50" s="124"/>
      <c r="B50" s="124"/>
      <c r="C50" s="124"/>
      <c r="D50" s="124"/>
      <c r="E50" s="124"/>
      <c r="F50" s="124"/>
      <c r="G50" s="125"/>
      <c r="H50" s="124"/>
    </row>
    <row r="51" spans="1:7" ht="16.5" customHeight="1" thickBot="1">
      <c r="A51" s="274" t="s">
        <v>70</v>
      </c>
      <c r="B51" s="274"/>
      <c r="C51" s="274"/>
      <c r="E51" s="120" t="s">
        <v>14</v>
      </c>
      <c r="G51" s="117"/>
    </row>
    <row r="52" ht="16.5" customHeight="1" thickBot="1">
      <c r="G52" s="116" t="s">
        <v>65</v>
      </c>
    </row>
    <row r="53" spans="1:7" ht="16.5" customHeight="1">
      <c r="A53" s="120" t="str">
        <f>'Fase Final Absolut'!M66</f>
        <v>David Subirà</v>
      </c>
      <c r="B53" s="121"/>
      <c r="C53" s="121"/>
      <c r="D53" s="121"/>
      <c r="E53" s="121"/>
      <c r="F53" s="122"/>
      <c r="G53" s="118"/>
    </row>
    <row r="54" spans="1:7" ht="16.5" customHeight="1" thickBot="1">
      <c r="A54" s="120" t="str">
        <f>'Fase Final Absolut'!M70</f>
        <v>David González</v>
      </c>
      <c r="B54" s="121"/>
      <c r="C54" s="121"/>
      <c r="D54" s="121"/>
      <c r="E54" s="121"/>
      <c r="F54" s="122"/>
      <c r="G54" s="119"/>
    </row>
    <row r="55" spans="1:7" ht="16.5" customHeight="1">
      <c r="A55" s="192" t="s">
        <v>265</v>
      </c>
      <c r="B55" s="272" t="str">
        <f>'Fase Final Absolut'!M68</f>
        <v>Francesc Solans</v>
      </c>
      <c r="C55" s="273"/>
      <c r="D55" s="273"/>
      <c r="E55" s="273"/>
      <c r="F55" s="273"/>
      <c r="G55" s="188"/>
    </row>
  </sheetData>
  <sheetProtection/>
  <mergeCells count="16">
    <mergeCell ref="B55:F55"/>
    <mergeCell ref="B13:F13"/>
    <mergeCell ref="B20:F20"/>
    <mergeCell ref="B27:F27"/>
    <mergeCell ref="B34:F34"/>
    <mergeCell ref="B41:F41"/>
    <mergeCell ref="A44:C44"/>
    <mergeCell ref="A51:C51"/>
    <mergeCell ref="A23:C23"/>
    <mergeCell ref="A30:C30"/>
    <mergeCell ref="A37:C37"/>
    <mergeCell ref="A2:C2"/>
    <mergeCell ref="A9:C9"/>
    <mergeCell ref="A16:C16"/>
    <mergeCell ref="B6:F6"/>
    <mergeCell ref="B48:F48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Nemo</dc:creator>
  <cp:keywords/>
  <dc:description/>
  <cp:lastModifiedBy>as</cp:lastModifiedBy>
  <cp:lastPrinted>2014-10-26T15:19:41Z</cp:lastPrinted>
  <dcterms:created xsi:type="dcterms:W3CDTF">2004-11-05T11:02:32Z</dcterms:created>
  <dcterms:modified xsi:type="dcterms:W3CDTF">2014-10-28T06:57:48Z</dcterms:modified>
  <cp:category/>
  <cp:version/>
  <cp:contentType/>
  <cp:contentStatus/>
</cp:coreProperties>
</file>